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35" yWindow="65521" windowWidth="2280" windowHeight="7710" activeTab="0"/>
  </bookViews>
  <sheets>
    <sheet name="Balance Sheet" sheetId="1" r:id="rId1"/>
    <sheet name="Profit &amp; Loss" sheetId="2" r:id="rId2"/>
    <sheet name="Movement in Equity" sheetId="3" r:id="rId3"/>
    <sheet name="CashFlowStmt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'Balance Sheet'!$A$1:$F$56</definedName>
    <definedName name="_xlnm.Print_Area" localSheetId="3">'CashFlowStmt'!$A$1:$E$61</definedName>
    <definedName name="_xlnm.Print_Area" localSheetId="2">'Movement in Equity'!$A$1:$F$31</definedName>
    <definedName name="_xlnm.Print_Area">'Balance Sheet'!$A$1:$E$54</definedName>
  </definedNames>
  <calcPr fullCalcOnLoad="1"/>
</workbook>
</file>

<file path=xl/sharedStrings.xml><?xml version="1.0" encoding="utf-8"?>
<sst xmlns="http://schemas.openxmlformats.org/spreadsheetml/2006/main" count="197" uniqueCount="131">
  <si>
    <t>CURRENT ASSETS</t>
  </si>
  <si>
    <t>Inventories</t>
  </si>
  <si>
    <t>Revenue</t>
  </si>
  <si>
    <t>Gross profit</t>
  </si>
  <si>
    <t xml:space="preserve">CONDENSED CONSOLIDATED </t>
  </si>
  <si>
    <t>TOTAL CURRENT ASSETS</t>
  </si>
  <si>
    <t>TOTAL CURRENT LIABILITIES</t>
  </si>
  <si>
    <t>Financed by:</t>
  </si>
  <si>
    <t>LONG TERM AND DEFERRED LIABILITIES</t>
  </si>
  <si>
    <t>(Incorporated In Malaysia)</t>
  </si>
  <si>
    <t>Profit from operations</t>
  </si>
  <si>
    <t>(The figures have not been audited)</t>
  </si>
  <si>
    <t>Finance cost</t>
  </si>
  <si>
    <t>Share</t>
  </si>
  <si>
    <t>Capital</t>
  </si>
  <si>
    <t>RM'000</t>
  </si>
  <si>
    <t>CONDENSED CONSOLIDATED CASH FLOW</t>
  </si>
  <si>
    <t>Ended</t>
  </si>
  <si>
    <t>Operating profit before changes in working capital</t>
  </si>
  <si>
    <t>Changes in working capital</t>
  </si>
  <si>
    <t>Tax paid</t>
  </si>
  <si>
    <t>Purchase of property, plant and equipment</t>
  </si>
  <si>
    <t>Net change in cash and cash equivalent</t>
  </si>
  <si>
    <t>CONDENSED CONSOLIDATED</t>
  </si>
  <si>
    <t>Current Year</t>
  </si>
  <si>
    <t>Quarter Ended</t>
  </si>
  <si>
    <t>To-Date Ended</t>
  </si>
  <si>
    <t>Cost of Sales</t>
  </si>
  <si>
    <t>Taxation</t>
  </si>
  <si>
    <t>N/A</t>
  </si>
  <si>
    <t>CURRENT LIABILITIES</t>
  </si>
  <si>
    <t>Total</t>
  </si>
  <si>
    <t>Accumulated</t>
  </si>
  <si>
    <t>KAWAN FOOD BERHAD</t>
  </si>
  <si>
    <t>Company No.:640445-V</t>
  </si>
  <si>
    <t>Company No. 640445-V</t>
  </si>
  <si>
    <t>Company No.: 640445-V</t>
  </si>
  <si>
    <t>Trade and other receivables</t>
  </si>
  <si>
    <t>Cash and cash equivalents</t>
  </si>
  <si>
    <t xml:space="preserve">Profit before taxation </t>
  </si>
  <si>
    <t>Cost of sale</t>
  </si>
  <si>
    <t xml:space="preserve">Profit after taxation </t>
  </si>
  <si>
    <t>Interest paid</t>
  </si>
  <si>
    <t>#</t>
  </si>
  <si>
    <t>Property, plant and equipment</t>
  </si>
  <si>
    <t>NET CURRENT ASSETS</t>
  </si>
  <si>
    <t>Deferred tax liabilities</t>
  </si>
  <si>
    <t>Other operating income</t>
  </si>
  <si>
    <t>Note</t>
  </si>
  <si>
    <t>B5</t>
  </si>
  <si>
    <t>Profit after taxation</t>
  </si>
  <si>
    <t>B13</t>
  </si>
  <si>
    <t>CONDENSED CONSOLIDATED STATEMENT</t>
  </si>
  <si>
    <t>At 1 January 2005</t>
  </si>
  <si>
    <t>Net profit for the period</t>
  </si>
  <si>
    <t>To-Date</t>
  </si>
  <si>
    <t>Interest received</t>
  </si>
  <si>
    <t>Net cash generated from investing activities</t>
  </si>
  <si>
    <t>Trade and other payables</t>
  </si>
  <si>
    <t>Net cash generated from financing activities</t>
  </si>
  <si>
    <t>Diluted earnings per share</t>
  </si>
  <si>
    <t>NUMBER OF SHARES IN ISSUE ('000)</t>
  </si>
  <si>
    <t>Profit before taxation</t>
  </si>
  <si>
    <t>CASH FLOWS FROM OPERATING ACTIVITIES</t>
  </si>
  <si>
    <t xml:space="preserve">Current </t>
  </si>
  <si>
    <t>N/A - Not applicable</t>
  </si>
  <si>
    <t xml:space="preserve"> </t>
  </si>
  <si>
    <t>Notes:</t>
  </si>
  <si>
    <t>Adjustment for non cash items:</t>
  </si>
  <si>
    <t>Cash flows from investing activities</t>
  </si>
  <si>
    <t>Acquisition of subsidiaries, net of cash acquired</t>
  </si>
  <si>
    <t>Cash flows from financing activities</t>
  </si>
  <si>
    <t>(Loss)/ Profit</t>
  </si>
  <si>
    <t>Basic earnings per share (sen)</t>
  </si>
  <si>
    <t>Pre-acquisition</t>
  </si>
  <si>
    <t>Post-acquisition</t>
  </si>
  <si>
    <t>Share capital</t>
  </si>
  <si>
    <t>Share premium</t>
  </si>
  <si>
    <t>Selling and distribution expenses</t>
  </si>
  <si>
    <t>Administrative expenses</t>
  </si>
  <si>
    <t>Non-cash items and non operating items</t>
  </si>
  <si>
    <t>STATEMENT FOR THE PERIOD ENDED</t>
  </si>
  <si>
    <t>Proceeds from issue of shares</t>
  </si>
  <si>
    <t>Payment of listing expenses</t>
  </si>
  <si>
    <t>Proceeds from disposal of property, plant and equipment</t>
  </si>
  <si>
    <t>Advance from directors</t>
  </si>
  <si>
    <t>Issuance of new shares via public issue</t>
  </si>
  <si>
    <t xml:space="preserve">Share </t>
  </si>
  <si>
    <t>Premium</t>
  </si>
  <si>
    <t>Listing expenses incurred</t>
  </si>
  <si>
    <t>Cash generated from operations</t>
  </si>
  <si>
    <t>Net cash generated from operating activities</t>
  </si>
  <si>
    <t>Current Year To-Date</t>
  </si>
  <si>
    <t># Based on RM 2.00 cash and cash equivalents as at 1 January 2005</t>
  </si>
  <si>
    <t>Issuance of new shares pursuant to acquisitions of subsidiaries</t>
  </si>
  <si>
    <t xml:space="preserve"> announced by KFB</t>
  </si>
  <si>
    <t xml:space="preserve">As Kawan Food Berhad ("KFB") only completed the acquisitions of its subsidiaries ("Acquisitions") on 1 June 2005 as part of its listing exercise, </t>
  </si>
  <si>
    <t xml:space="preserve">results of Kawan Food Manufacturing Sdn Bhd ("KFM") and KG Pastry Marketing Sdn Bhd ("KGPM"). </t>
  </si>
  <si>
    <t># Based on the paid-up share capital of RM 2.00 comprising 2 ordinary shares of RM 1.00 each in KFB as at 1 January 2005.</t>
  </si>
  <si>
    <t>Opening cash and cash equivalent as at 1 January 2005</t>
  </si>
  <si>
    <t>of KG have been disposed to KGPM as part of the restructuring scheme as set out in the Prospectus dated 30 June 2005.</t>
  </si>
  <si>
    <t>As  at</t>
  </si>
  <si>
    <t>As at</t>
  </si>
  <si>
    <t>Accumulated profit</t>
  </si>
  <si>
    <t>SHAREHOLDERS' FUNDS</t>
  </si>
  <si>
    <t>31 December 2004</t>
  </si>
  <si>
    <t>31 December 2005</t>
  </si>
  <si>
    <t>BALANCE SHEET AS AT 31 DECEMBER 2005</t>
  </si>
  <si>
    <t>ENDED 31 DECEMBER 2005</t>
  </si>
  <si>
    <r>
      <t xml:space="preserve"> 31 December</t>
    </r>
    <r>
      <rPr>
        <sz val="12"/>
        <rFont val="Arial"/>
        <family val="0"/>
      </rPr>
      <t xml:space="preserve"> 2005</t>
    </r>
  </si>
  <si>
    <t>QUARTER ENDED 31 DECEMBER 2005</t>
  </si>
  <si>
    <t>At 31 December 2005</t>
  </si>
  <si>
    <t>31 DECEMBER 2005</t>
  </si>
  <si>
    <t>Amount owing to Directors</t>
  </si>
  <si>
    <t>Tax recoverable</t>
  </si>
  <si>
    <t>Deferred tax assets</t>
  </si>
  <si>
    <t>Interim dividend paid</t>
  </si>
  <si>
    <t>Repayment of bank borrowing</t>
  </si>
  <si>
    <t>Closing cash and cash equivalent as at 31 December 2005</t>
  </si>
  <si>
    <t xml:space="preserve"> 31 December 2005</t>
  </si>
  <si>
    <t>the results for the twelve (12) months ended 31 December 2005 essentially reflect the Group's operations for the period from the completion date of</t>
  </si>
  <si>
    <t xml:space="preserve">the Acquisitions to 31 December 2005. </t>
  </si>
  <si>
    <t>* No comparative figures are available as this is the first set of Consolidated Financial Statements for the fourth quarter announced by KFB</t>
  </si>
  <si>
    <t>INCOME STATEMENT FOR THE FOURTH QUARTER</t>
  </si>
  <si>
    <t>OF CHANGES IN EQUITY FOR THE FOURTH</t>
  </si>
  <si>
    <t>Dividend paid</t>
  </si>
  <si>
    <t>NET ASSETS PER SHARE (RM)</t>
  </si>
  <si>
    <t xml:space="preserve">Accordingly, KFM's Group condensed consolidated income statement above for the period ended 31 December 2005 reflect seven (7) months </t>
  </si>
  <si>
    <t>The complete twelve (12) months proforma results of KFB Group are set out as follows:</t>
  </si>
  <si>
    <t># This excludes the 5 months sales from K.G. Pastry Manufacturing Sdn Bhd ("KG") which is not part of the KFB Group. The net assets</t>
  </si>
  <si>
    <t xml:space="preserve">* No comparative figures are available as this is the first set of Consolidated Financial Statements for the fourth quarter </t>
  </si>
</sst>
</file>

<file path=xl/styles.xml><?xml version="1.0" encoding="utf-8"?>
<styleSheet xmlns="http://schemas.openxmlformats.org/spreadsheetml/2006/main">
  <numFmts count="40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0.0"/>
    <numFmt numFmtId="185" formatCode="m/d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#,##0.0"/>
    <numFmt numFmtId="193" formatCode="#,##0.0_);[Red]\(#,##0.0\)"/>
    <numFmt numFmtId="194" formatCode="#,##0.000"/>
    <numFmt numFmtId="195" formatCode="#,##0.0000"/>
  </numFmts>
  <fonts count="1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sz val="11"/>
      <name val="Arial"/>
      <family val="2"/>
    </font>
    <font>
      <sz val="12"/>
      <color indexed="10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sz val="11"/>
      <color indexed="10"/>
      <name val="Arial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>
        <color indexed="8"/>
      </top>
      <bottom style="thin"/>
    </border>
    <border>
      <left style="thin"/>
      <right style="thin"/>
      <top style="thin"/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1" xfId="0" applyNumberFormat="1" applyFont="1" applyAlignment="1">
      <alignment/>
    </xf>
    <xf numFmtId="0" fontId="0" fillId="0" borderId="1" xfId="0" applyNumberFormat="1" applyAlignment="1">
      <alignment/>
    </xf>
    <xf numFmtId="0" fontId="0" fillId="0" borderId="2" xfId="0" applyNumberFormat="1" applyAlignment="1">
      <alignment/>
    </xf>
    <xf numFmtId="0" fontId="0" fillId="0" borderId="3" xfId="0" applyNumberFormat="1" applyAlignment="1">
      <alignment/>
    </xf>
    <xf numFmtId="0" fontId="4" fillId="0" borderId="3" xfId="0" applyNumberFormat="1" applyFont="1" applyAlignment="1">
      <alignment/>
    </xf>
    <xf numFmtId="0" fontId="4" fillId="0" borderId="3" xfId="0" applyNumberFormat="1" applyFont="1" applyAlignment="1">
      <alignment horizontal="center"/>
    </xf>
    <xf numFmtId="0" fontId="4" fillId="0" borderId="1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3" fontId="0" fillId="0" borderId="2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Font="1" applyBorder="1" applyAlignment="1">
      <alignment/>
    </xf>
    <xf numFmtId="0" fontId="0" fillId="0" borderId="8" xfId="0" applyNumberFormat="1" applyBorder="1" applyAlignment="1">
      <alignment/>
    </xf>
    <xf numFmtId="0" fontId="0" fillId="0" borderId="7" xfId="0" applyNumberFormat="1" applyBorder="1" applyAlignment="1">
      <alignment/>
    </xf>
    <xf numFmtId="0" fontId="4" fillId="0" borderId="4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37" fontId="0" fillId="0" borderId="3" xfId="0" applyNumberFormat="1" applyAlignment="1">
      <alignment/>
    </xf>
    <xf numFmtId="37" fontId="0" fillId="0" borderId="9" xfId="0" applyNumberFormat="1" applyBorder="1" applyAlignment="1">
      <alignment/>
    </xf>
    <xf numFmtId="37" fontId="0" fillId="0" borderId="1" xfId="0" applyNumberFormat="1" applyAlignment="1">
      <alignment/>
    </xf>
    <xf numFmtId="37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4" fillId="0" borderId="0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4" fillId="0" borderId="14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15" fontId="4" fillId="0" borderId="14" xfId="0" applyNumberFormat="1" applyFont="1" applyBorder="1" applyAlignment="1" quotePrefix="1">
      <alignment/>
    </xf>
    <xf numFmtId="0" fontId="0" fillId="0" borderId="14" xfId="0" applyNumberForma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37" fontId="0" fillId="0" borderId="15" xfId="0" applyNumberFormat="1" applyBorder="1" applyAlignment="1">
      <alignment/>
    </xf>
    <xf numFmtId="37" fontId="0" fillId="0" borderId="15" xfId="0" applyNumberFormat="1" applyBorder="1" applyAlignment="1">
      <alignment horizontal="right"/>
    </xf>
    <xf numFmtId="0" fontId="0" fillId="0" borderId="16" xfId="0" applyNumberForma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15" xfId="0" applyNumberFormat="1" applyBorder="1" applyAlignment="1">
      <alignment/>
    </xf>
    <xf numFmtId="0" fontId="4" fillId="0" borderId="16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/>
    </xf>
    <xf numFmtId="0" fontId="4" fillId="0" borderId="15" xfId="0" applyNumberFormat="1" applyFont="1" applyBorder="1" applyAlignment="1" quotePrefix="1">
      <alignment horizontal="center"/>
    </xf>
    <xf numFmtId="0" fontId="0" fillId="0" borderId="11" xfId="0" applyNumberFormat="1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9" xfId="0" applyNumberFormat="1" applyBorder="1" applyAlignment="1">
      <alignment/>
    </xf>
    <xf numFmtId="0" fontId="0" fillId="0" borderId="20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37" fontId="0" fillId="0" borderId="21" xfId="0" applyNumberFormat="1" applyBorder="1" applyAlignment="1">
      <alignment/>
    </xf>
    <xf numFmtId="37" fontId="0" fillId="0" borderId="22" xfId="0" applyNumberFormat="1" applyBorder="1" applyAlignment="1">
      <alignment/>
    </xf>
    <xf numFmtId="37" fontId="0" fillId="0" borderId="23" xfId="0" applyNumberFormat="1" applyBorder="1" applyAlignment="1">
      <alignment/>
    </xf>
    <xf numFmtId="37" fontId="4" fillId="0" borderId="24" xfId="0" applyNumberFormat="1" applyFont="1" applyBorder="1" applyAlignment="1">
      <alignment/>
    </xf>
    <xf numFmtId="0" fontId="4" fillId="0" borderId="25" xfId="0" applyNumberFormat="1" applyFont="1" applyBorder="1" applyAlignment="1">
      <alignment/>
    </xf>
    <xf numFmtId="0" fontId="4" fillId="0" borderId="26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0" fontId="4" fillId="0" borderId="27" xfId="0" applyNumberFormat="1" applyFont="1" applyBorder="1" applyAlignment="1">
      <alignment horizontal="center"/>
    </xf>
    <xf numFmtId="16" fontId="4" fillId="0" borderId="27" xfId="0" applyNumberFormat="1" applyFont="1" applyBorder="1" applyAlignment="1" quotePrefix="1">
      <alignment horizontal="center"/>
    </xf>
    <xf numFmtId="0" fontId="4" fillId="0" borderId="28" xfId="0" applyNumberFormat="1" applyFont="1" applyBorder="1" applyAlignment="1">
      <alignment horizontal="center"/>
    </xf>
    <xf numFmtId="0" fontId="4" fillId="0" borderId="28" xfId="0" applyNumberFormat="1" applyFont="1" applyBorder="1" applyAlignment="1" quotePrefix="1">
      <alignment horizontal="center"/>
    </xf>
    <xf numFmtId="3" fontId="4" fillId="0" borderId="29" xfId="0" applyNumberFormat="1" applyFont="1" applyBorder="1" applyAlignment="1">
      <alignment/>
    </xf>
    <xf numFmtId="4" fontId="4" fillId="0" borderId="3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4" xfId="0" applyNumberFormat="1" applyFont="1" applyBorder="1" applyAlignment="1">
      <alignment/>
    </xf>
    <xf numFmtId="37" fontId="4" fillId="0" borderId="21" xfId="0" applyNumberFormat="1" applyFont="1" applyBorder="1" applyAlignment="1">
      <alignment/>
    </xf>
    <xf numFmtId="37" fontId="4" fillId="0" borderId="22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37" fontId="4" fillId="0" borderId="32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37" fontId="0" fillId="0" borderId="3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4" fillId="0" borderId="33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/>
    </xf>
    <xf numFmtId="0" fontId="0" fillId="0" borderId="34" xfId="0" applyNumberFormat="1" applyFont="1" applyBorder="1" applyAlignment="1">
      <alignment/>
    </xf>
    <xf numFmtId="0" fontId="4" fillId="0" borderId="35" xfId="0" applyNumberFormat="1" applyFont="1" applyBorder="1" applyAlignment="1">
      <alignment/>
    </xf>
    <xf numFmtId="0" fontId="4" fillId="0" borderId="30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/>
    </xf>
    <xf numFmtId="0" fontId="0" fillId="0" borderId="36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0" fontId="4" fillId="0" borderId="34" xfId="0" applyNumberFormat="1" applyFont="1" applyBorder="1" applyAlignment="1">
      <alignment horizontal="center"/>
    </xf>
    <xf numFmtId="0" fontId="0" fillId="0" borderId="34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15" fontId="0" fillId="0" borderId="27" xfId="0" applyNumberFormat="1" applyFont="1" applyBorder="1" applyAlignment="1">
      <alignment horizontal="center"/>
    </xf>
    <xf numFmtId="0" fontId="0" fillId="0" borderId="36" xfId="0" applyNumberFormat="1" applyFont="1" applyBorder="1" applyAlignment="1">
      <alignment horizontal="center"/>
    </xf>
    <xf numFmtId="37" fontId="0" fillId="0" borderId="27" xfId="0" applyNumberFormat="1" applyFont="1" applyBorder="1" applyAlignment="1">
      <alignment/>
    </xf>
    <xf numFmtId="37" fontId="0" fillId="0" borderId="28" xfId="0" applyNumberFormat="1" applyFont="1" applyBorder="1" applyAlignment="1">
      <alignment/>
    </xf>
    <xf numFmtId="37" fontId="0" fillId="0" borderId="36" xfId="0" applyNumberFormat="1" applyFont="1" applyBorder="1" applyAlignment="1">
      <alignment/>
    </xf>
    <xf numFmtId="37" fontId="0" fillId="0" borderId="29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37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4" fillId="0" borderId="27" xfId="0" applyNumberFormat="1" applyFont="1" applyBorder="1" applyAlignment="1">
      <alignment/>
    </xf>
    <xf numFmtId="37" fontId="4" fillId="0" borderId="28" xfId="0" applyNumberFormat="1" applyFont="1" applyBorder="1" applyAlignment="1">
      <alignment/>
    </xf>
    <xf numFmtId="0" fontId="0" fillId="0" borderId="29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0" fontId="0" fillId="0" borderId="35" xfId="0" applyNumberFormat="1" applyFont="1" applyBorder="1" applyAlignment="1">
      <alignment/>
    </xf>
    <xf numFmtId="0" fontId="0" fillId="0" borderId="30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 horizontal="center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15" fontId="9" fillId="0" borderId="0" xfId="0" applyNumberFormat="1" applyFont="1" applyAlignment="1" quotePrefix="1">
      <alignment horizontal="center"/>
    </xf>
    <xf numFmtId="0" fontId="9" fillId="0" borderId="0" xfId="0" applyNumberFormat="1" applyFont="1" applyBorder="1" applyAlignment="1">
      <alignment horizontal="center"/>
    </xf>
    <xf numFmtId="37" fontId="7" fillId="0" borderId="0" xfId="0" applyNumberFormat="1" applyFont="1" applyBorder="1" applyAlignment="1">
      <alignment horizontal="right"/>
    </xf>
    <xf numFmtId="37" fontId="7" fillId="0" borderId="0" xfId="0" applyNumberFormat="1" applyFont="1" applyBorder="1" applyAlignment="1">
      <alignment/>
    </xf>
    <xf numFmtId="38" fontId="7" fillId="0" borderId="0" xfId="0" applyNumberFormat="1" applyFont="1" applyBorder="1" applyAlignment="1">
      <alignment/>
    </xf>
    <xf numFmtId="37" fontId="7" fillId="0" borderId="0" xfId="0" applyNumberFormat="1" applyFont="1" applyAlignment="1">
      <alignment/>
    </xf>
    <xf numFmtId="37" fontId="7" fillId="0" borderId="30" xfId="0" applyNumberFormat="1" applyFont="1" applyBorder="1" applyAlignment="1">
      <alignment/>
    </xf>
    <xf numFmtId="37" fontId="7" fillId="0" borderId="2" xfId="0" applyNumberFormat="1" applyFont="1" applyAlignment="1">
      <alignment/>
    </xf>
    <xf numFmtId="38" fontId="7" fillId="0" borderId="2" xfId="0" applyNumberFormat="1" applyFont="1" applyAlignment="1">
      <alignment/>
    </xf>
    <xf numFmtId="38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7" fillId="0" borderId="30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37" fontId="7" fillId="0" borderId="38" xfId="0" applyNumberFormat="1" applyFont="1" applyBorder="1" applyAlignment="1">
      <alignment/>
    </xf>
    <xf numFmtId="0" fontId="7" fillId="0" borderId="39" xfId="0" applyNumberFormat="1" applyFont="1" applyAlignment="1">
      <alignment/>
    </xf>
    <xf numFmtId="0" fontId="1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33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/>
    </xf>
    <xf numFmtId="0" fontId="0" fillId="0" borderId="34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/>
    </xf>
    <xf numFmtId="3" fontId="0" fillId="0" borderId="27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6" xfId="0" applyNumberFormat="1" applyFont="1" applyBorder="1" applyAlignment="1">
      <alignment horizontal="right"/>
    </xf>
    <xf numFmtId="3" fontId="4" fillId="0" borderId="36" xfId="0" applyNumberFormat="1" applyFont="1" applyBorder="1" applyAlignment="1">
      <alignment horizontal="right"/>
    </xf>
    <xf numFmtId="3" fontId="0" fillId="0" borderId="36" xfId="0" applyNumberFormat="1" applyFont="1" applyBorder="1" applyAlignment="1">
      <alignment/>
    </xf>
    <xf numFmtId="3" fontId="4" fillId="0" borderId="40" xfId="0" applyNumberFormat="1" applyFont="1" applyBorder="1" applyAlignment="1">
      <alignment horizontal="right"/>
    </xf>
    <xf numFmtId="0" fontId="0" fillId="0" borderId="35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7" fontId="0" fillId="0" borderId="3" xfId="0" applyNumberFormat="1" applyFont="1" applyAlignment="1">
      <alignment/>
    </xf>
    <xf numFmtId="37" fontId="4" fillId="0" borderId="21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3" xfId="0" applyNumberFormat="1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2" fontId="0" fillId="0" borderId="28" xfId="0" applyNumberFormat="1" applyFont="1" applyFill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ftehps2\Local%20Settings\Temporary%20Internet%20Files\Content.IE5\I54FAXI5\ConsolidatedCf06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gmtReport2005\KGPM\June\KGPMBSJune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orary%20Internet%20Files\OLK47\ConsolidatedPL09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orary%20Internet%20Files\OLK47\Consolidated%20Cash%20Flows%20Sep'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orary%20Internet%20Files\OLK47\KPMG\KFB%20Conso%20Accounts%2031.12.05%20(KPMG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orary%20Internet%20Files\OLK47\KFB%20Consolidated%20P&amp;%20L%2031.12.0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orary%20Internet%20Files\OLK47\Consolidated%20Cash%20Flows%20Dec'05(Siah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nnie\Local%20Settings\Temporary%20Internet%20Files\OLK30\Consolidated%20Cash%20Flows%20Dec'05(Siah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FBbs"/>
      <sheetName val="KFMbs"/>
      <sheetName val="KGPMbs"/>
      <sheetName val="KFBcf"/>
      <sheetName val="KFMcf"/>
      <sheetName val="KGPMcf"/>
    </sheetNames>
    <sheetDataSet>
      <sheetData sheetId="0">
        <row r="36">
          <cell r="F36">
            <v>34839998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GPMbs"/>
      <sheetName val="CashFlowWrk"/>
      <sheetName val="CashflowwrkYTD"/>
      <sheetName val="KGPMcf-indirect"/>
      <sheetName val="KGPMcf-direct"/>
      <sheetName val="3ABS"/>
      <sheetName val="Lookup"/>
    </sheetNames>
    <sheetDataSet>
      <sheetData sheetId="0">
        <row r="46">
          <cell r="C4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trKFBpl"/>
      <sheetName val="Jul-Sep'05 Qtr KFB P&amp;L"/>
      <sheetName val="YTD KFB P&amp;L"/>
      <sheetName val="mthlyKFBpl"/>
      <sheetName val="MTDKFBpl"/>
      <sheetName val="YTDKFBpl"/>
      <sheetName val="KFMpl"/>
      <sheetName val="KGPMpl"/>
    </sheetNames>
    <sheetDataSet>
      <sheetData sheetId="1">
        <row r="32">
          <cell r="G32">
            <v>226092.63</v>
          </cell>
        </row>
        <row r="36">
          <cell r="G36">
            <v>-404349.23</v>
          </cell>
          <cell r="H36">
            <v>-2250</v>
          </cell>
        </row>
        <row r="37">
          <cell r="G37">
            <v>-214912.58</v>
          </cell>
          <cell r="H37">
            <v>-30525</v>
          </cell>
        </row>
        <row r="40">
          <cell r="G40">
            <v>-129317.68000000001</v>
          </cell>
          <cell r="H40">
            <v>-30</v>
          </cell>
        </row>
        <row r="49">
          <cell r="G49">
            <v>-1125000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so Cash Flow June-Sep'05"/>
      <sheetName val="Conso cashflow July-Sep'05"/>
      <sheetName val="Balance Sheet"/>
      <sheetName val="Conso Cash Flow June'05"/>
      <sheetName val="Sheet3"/>
    </sheetNames>
    <sheetDataSet>
      <sheetData sheetId="0">
        <row r="42">
          <cell r="C4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BS"/>
      <sheetName val="Sheet3"/>
    </sheetNames>
    <sheetDataSet>
      <sheetData sheetId="1">
        <row r="9">
          <cell r="W9">
            <v>23290503</v>
          </cell>
        </row>
        <row r="10">
          <cell r="W10">
            <v>182464</v>
          </cell>
        </row>
        <row r="15">
          <cell r="W15">
            <v>3025024</v>
          </cell>
        </row>
        <row r="16">
          <cell r="W16">
            <v>8563053</v>
          </cell>
        </row>
        <row r="17">
          <cell r="W17">
            <v>7701702</v>
          </cell>
        </row>
        <row r="20">
          <cell r="W20">
            <v>10533093.09</v>
          </cell>
        </row>
        <row r="21">
          <cell r="W21">
            <v>1225000</v>
          </cell>
        </row>
        <row r="25">
          <cell r="W25">
            <v>2925474</v>
          </cell>
        </row>
        <row r="26">
          <cell r="W26">
            <v>1517622</v>
          </cell>
        </row>
        <row r="28">
          <cell r="W28">
            <v>125000</v>
          </cell>
        </row>
        <row r="31">
          <cell r="W31">
            <v>202000</v>
          </cell>
        </row>
        <row r="40">
          <cell r="W40">
            <v>40000000</v>
          </cell>
        </row>
        <row r="41">
          <cell r="W41">
            <v>4607434.43</v>
          </cell>
        </row>
        <row r="43">
          <cell r="W43">
            <v>3534308.84</v>
          </cell>
        </row>
        <row r="50">
          <cell r="W50">
            <v>1609000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QtrKFBpl"/>
      <sheetName val="Oct-Dec'05 Qtr KFB P&amp;L"/>
      <sheetName val="YTD KFB P&amp;L"/>
      <sheetName val="mthlyKFBpl"/>
      <sheetName val="MTDKFBpl"/>
      <sheetName val="YTDKFBpl"/>
      <sheetName val="KFMpl"/>
      <sheetName val="KGPMpl"/>
    </sheetNames>
    <sheetDataSet>
      <sheetData sheetId="1">
        <row r="9">
          <cell r="M9">
            <v>26559544.130000003</v>
          </cell>
          <cell r="O9">
            <v>11720199.130000003</v>
          </cell>
        </row>
        <row r="18">
          <cell r="M18">
            <v>15830084</v>
          </cell>
          <cell r="O18">
            <v>7492140</v>
          </cell>
        </row>
        <row r="32">
          <cell r="M32">
            <v>987925.7600000016</v>
          </cell>
          <cell r="O32">
            <v>145262.76000000164</v>
          </cell>
        </row>
        <row r="36">
          <cell r="M36">
            <v>-3113671.77</v>
          </cell>
          <cell r="O36">
            <v>-1778535.77</v>
          </cell>
        </row>
        <row r="37">
          <cell r="M37">
            <v>-2908843.42</v>
          </cell>
          <cell r="O37">
            <v>-1269342.42</v>
          </cell>
        </row>
        <row r="40">
          <cell r="M40">
            <v>-196121.32</v>
          </cell>
          <cell r="O40">
            <v>-77518.32</v>
          </cell>
        </row>
        <row r="49">
          <cell r="M49">
            <v>-303676</v>
          </cell>
          <cell r="O49">
            <v>17759</v>
          </cell>
        </row>
      </sheetData>
      <sheetData sheetId="2">
        <row r="9">
          <cell r="J9">
            <v>36345146</v>
          </cell>
        </row>
        <row r="18">
          <cell r="J18">
            <v>20825226</v>
          </cell>
        </row>
        <row r="32">
          <cell r="J32">
            <v>1214018.7600000016</v>
          </cell>
        </row>
        <row r="36">
          <cell r="J36">
            <v>-3520271</v>
          </cell>
        </row>
        <row r="37">
          <cell r="J37">
            <v>-3154281</v>
          </cell>
        </row>
        <row r="40">
          <cell r="J40">
            <v>-325469</v>
          </cell>
        </row>
        <row r="49">
          <cell r="J49">
            <v>-1428676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so Cash Flow June-Dec'05"/>
      <sheetName val="Conso Cash Flow June-Sep'05"/>
      <sheetName val="BS31.12.05"/>
      <sheetName val="Conso cashflow July-Sep'05"/>
      <sheetName val="Conso Cash Flow June'05"/>
      <sheetName val="BS30.9.05"/>
      <sheetName val="Sheet3"/>
    </sheetNames>
    <sheetDataSet>
      <sheetData sheetId="0">
        <row r="9">
          <cell r="C9">
            <v>5498.707180799995</v>
          </cell>
        </row>
        <row r="24">
          <cell r="C24">
            <v>213.0973100000001</v>
          </cell>
        </row>
        <row r="25">
          <cell r="C25">
            <v>5100.491099999999</v>
          </cell>
        </row>
        <row r="26">
          <cell r="C26">
            <v>-9375.01335</v>
          </cell>
        </row>
        <row r="27">
          <cell r="C27">
            <v>125</v>
          </cell>
        </row>
        <row r="32">
          <cell r="C32">
            <v>-82.38910999999999</v>
          </cell>
        </row>
        <row r="33">
          <cell r="C33">
            <v>-1957.14</v>
          </cell>
        </row>
        <row r="38">
          <cell r="C38">
            <v>8536.426999999996</v>
          </cell>
        </row>
        <row r="40">
          <cell r="C40">
            <v>36</v>
          </cell>
        </row>
        <row r="41">
          <cell r="C41">
            <v>152.13586</v>
          </cell>
        </row>
        <row r="46">
          <cell r="C46">
            <v>10320</v>
          </cell>
        </row>
        <row r="47">
          <cell r="C47">
            <v>-4990</v>
          </cell>
        </row>
        <row r="49">
          <cell r="C49">
            <v>-1625.6911600000005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so Cash Flow June-Dec'05"/>
      <sheetName val="Conso Cash Flow June-Sep'05"/>
      <sheetName val="BS31.12.05"/>
      <sheetName val="Conso cashflow July-Sep'05"/>
      <sheetName val="Conso Cash Flow June'05"/>
      <sheetName val="BS30.9.05"/>
      <sheetName val="Sheet3"/>
    </sheetNames>
    <sheetDataSet>
      <sheetData sheetId="0">
        <row r="13">
          <cell r="C13">
            <v>1516.9662399999997</v>
          </cell>
        </row>
        <row r="14">
          <cell r="C14">
            <v>136</v>
          </cell>
        </row>
        <row r="15">
          <cell r="C15">
            <v>-4.91833</v>
          </cell>
        </row>
        <row r="16">
          <cell r="C16">
            <v>-153.13586</v>
          </cell>
        </row>
        <row r="17">
          <cell r="C17">
            <v>134.15645999999998</v>
          </cell>
        </row>
        <row r="18">
          <cell r="C18">
            <v>-35.999</v>
          </cell>
        </row>
        <row r="19">
          <cell r="C19">
            <v>-633.571</v>
          </cell>
        </row>
        <row r="39">
          <cell r="C39">
            <v>-1800.95075</v>
          </cell>
        </row>
        <row r="48">
          <cell r="C48">
            <v>-576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7"/>
  <sheetViews>
    <sheetView tabSelected="1" showOutlineSymbols="0" workbookViewId="0" topLeftCell="A49">
      <selection activeCell="C57" sqref="C57"/>
    </sheetView>
  </sheetViews>
  <sheetFormatPr defaultColWidth="8.88671875" defaultRowHeight="15"/>
  <cols>
    <col min="1" max="1" width="5.6640625" style="1" customWidth="1"/>
    <col min="2" max="2" width="35.6640625" style="85" customWidth="1"/>
    <col min="3" max="3" width="13.4453125" style="136" customWidth="1"/>
    <col min="4" max="5" width="19.77734375" style="85" bestFit="1" customWidth="1"/>
    <col min="6" max="6" width="3.77734375" style="1" customWidth="1"/>
    <col min="7" max="7" width="5.6640625" style="1" customWidth="1"/>
    <col min="8" max="8" width="10.6640625" style="1" customWidth="1"/>
    <col min="9" max="9" width="12.6640625" style="1" customWidth="1"/>
    <col min="10" max="11" width="11.6640625" style="1" customWidth="1"/>
    <col min="12" max="12" width="12.6640625" style="1" customWidth="1"/>
    <col min="13" max="13" width="13.6640625" style="1" customWidth="1"/>
    <col min="14" max="14" width="12.6640625" style="1" customWidth="1"/>
    <col min="15" max="17" width="9.6640625" style="1" customWidth="1"/>
    <col min="18" max="18" width="41.6640625" style="1" customWidth="1"/>
    <col min="19" max="20" width="11.6640625" style="1" customWidth="1"/>
    <col min="21" max="21" width="9.6640625" style="1" customWidth="1"/>
    <col min="22" max="23" width="11.6640625" style="1" customWidth="1"/>
    <col min="24" max="26" width="9.6640625" style="1" customWidth="1"/>
    <col min="27" max="27" width="37.6640625" style="1" customWidth="1"/>
    <col min="28" max="29" width="11.6640625" style="1" customWidth="1"/>
    <col min="30" max="30" width="3.6640625" style="1" customWidth="1"/>
    <col min="31" max="33" width="11.6640625" style="1" customWidth="1"/>
    <col min="34" max="34" width="9.6640625" style="1" customWidth="1"/>
    <col min="35" max="36" width="11.6640625" style="1" customWidth="1"/>
    <col min="37" max="37" width="9.6640625" style="1" customWidth="1"/>
    <col min="38" max="38" width="11.6640625" style="1" customWidth="1"/>
    <col min="39" max="16384" width="9.6640625" style="1" customWidth="1"/>
  </cols>
  <sheetData>
    <row r="1" spans="2:40" ht="16.5" thickBot="1">
      <c r="B1" s="10" t="s">
        <v>35</v>
      </c>
      <c r="F1" s="9"/>
      <c r="Z1" s="21"/>
      <c r="AA1" s="13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13"/>
      <c r="AN1" s="14"/>
    </row>
    <row r="2" spans="2:40" ht="15.75">
      <c r="B2" s="65" t="s">
        <v>33</v>
      </c>
      <c r="C2" s="137"/>
      <c r="D2" s="138"/>
      <c r="E2" s="139"/>
      <c r="F2" s="9"/>
      <c r="Z2" s="21"/>
      <c r="AA2" s="13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13"/>
      <c r="AN2" s="14"/>
    </row>
    <row r="3" spans="2:40" ht="16.5" thickBot="1">
      <c r="B3" s="66" t="s">
        <v>9</v>
      </c>
      <c r="C3" s="21"/>
      <c r="D3" s="93"/>
      <c r="E3" s="140"/>
      <c r="F3" s="9"/>
      <c r="Z3" s="21"/>
      <c r="AA3" s="13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13"/>
      <c r="AN3" s="14"/>
    </row>
    <row r="4" spans="2:40" ht="16.5" thickBot="1">
      <c r="B4" s="65"/>
      <c r="C4" s="137"/>
      <c r="D4" s="138"/>
      <c r="E4" s="96"/>
      <c r="F4" s="9"/>
      <c r="Z4" s="21"/>
      <c r="AA4" s="13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13"/>
      <c r="AN4" s="14"/>
    </row>
    <row r="5" spans="2:40" ht="15.75">
      <c r="B5" s="66" t="s">
        <v>4</v>
      </c>
      <c r="C5" s="21"/>
      <c r="D5" s="141"/>
      <c r="E5" s="95"/>
      <c r="F5" s="9"/>
      <c r="Z5" s="21"/>
      <c r="AA5" s="13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13"/>
      <c r="AN5" s="14"/>
    </row>
    <row r="6" spans="2:40" ht="15.75">
      <c r="B6" s="66" t="s">
        <v>107</v>
      </c>
      <c r="C6" s="21"/>
      <c r="D6" s="110"/>
      <c r="E6" s="68"/>
      <c r="F6" s="9"/>
      <c r="Z6" s="21"/>
      <c r="AA6" s="13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13"/>
      <c r="AN6" s="14"/>
    </row>
    <row r="7" spans="2:40" ht="15.75">
      <c r="B7" s="66" t="s">
        <v>11</v>
      </c>
      <c r="C7" s="21"/>
      <c r="D7" s="70"/>
      <c r="E7" s="68"/>
      <c r="F7" s="9"/>
      <c r="Z7" s="21"/>
      <c r="AA7" s="13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13"/>
      <c r="AN7" s="14"/>
    </row>
    <row r="8" spans="2:40" ht="15.75">
      <c r="B8" s="66"/>
      <c r="C8" s="21"/>
      <c r="D8" s="70"/>
      <c r="E8" s="68"/>
      <c r="F8" s="9"/>
      <c r="Z8" s="21"/>
      <c r="AA8" s="13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13"/>
      <c r="AN8" s="14"/>
    </row>
    <row r="9" spans="2:40" ht="15.75">
      <c r="B9" s="142"/>
      <c r="C9" s="21"/>
      <c r="D9" s="70" t="s">
        <v>101</v>
      </c>
      <c r="E9" s="68" t="s">
        <v>102</v>
      </c>
      <c r="F9" s="9"/>
      <c r="Z9" s="21"/>
      <c r="AA9" s="13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13"/>
      <c r="AN9" s="14"/>
    </row>
    <row r="10" spans="2:40" ht="15.75">
      <c r="B10" s="142"/>
      <c r="C10" s="21"/>
      <c r="D10" s="71" t="s">
        <v>106</v>
      </c>
      <c r="E10" s="69" t="s">
        <v>105</v>
      </c>
      <c r="F10" s="9"/>
      <c r="Z10" s="21"/>
      <c r="AA10" s="13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13"/>
      <c r="AN10" s="14"/>
    </row>
    <row r="11" spans="2:40" ht="15.75">
      <c r="B11" s="142"/>
      <c r="C11" s="21" t="s">
        <v>48</v>
      </c>
      <c r="D11" s="70" t="s">
        <v>15</v>
      </c>
      <c r="E11" s="68" t="s">
        <v>15</v>
      </c>
      <c r="F11" s="9"/>
      <c r="Z11" s="21"/>
      <c r="AA11" s="13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13"/>
      <c r="AN11" s="14"/>
    </row>
    <row r="12" spans="2:40" ht="15.75">
      <c r="B12" s="66"/>
      <c r="C12" s="21"/>
      <c r="D12" s="143"/>
      <c r="E12" s="140"/>
      <c r="F12" s="9"/>
      <c r="Z12" s="21"/>
      <c r="AA12" s="13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13"/>
      <c r="AN12" s="14"/>
    </row>
    <row r="13" spans="2:40" ht="15">
      <c r="B13" s="142" t="s">
        <v>44</v>
      </c>
      <c r="C13" s="144"/>
      <c r="D13" s="145">
        <f>'[5]BS'!$W$9/1000</f>
        <v>23290.503</v>
      </c>
      <c r="E13" s="146" t="s">
        <v>29</v>
      </c>
      <c r="F13" s="9"/>
      <c r="Z13" s="21"/>
      <c r="AA13" s="13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13"/>
      <c r="AN13" s="14"/>
    </row>
    <row r="14" spans="2:40" ht="15">
      <c r="B14" s="142" t="s">
        <v>115</v>
      </c>
      <c r="C14" s="144"/>
      <c r="D14" s="145">
        <f>'[5]BS'!$W$10/1000</f>
        <v>182.464</v>
      </c>
      <c r="E14" s="146" t="s">
        <v>29</v>
      </c>
      <c r="F14" s="9"/>
      <c r="Z14" s="21"/>
      <c r="AA14" s="13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13"/>
      <c r="AN14" s="14"/>
    </row>
    <row r="15" spans="2:40" ht="15">
      <c r="B15" s="142"/>
      <c r="C15" s="144"/>
      <c r="D15" s="145"/>
      <c r="E15" s="147"/>
      <c r="F15" s="9"/>
      <c r="Z15" s="21"/>
      <c r="AA15" s="13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13"/>
      <c r="AN15" s="14"/>
    </row>
    <row r="16" spans="2:40" ht="15.75">
      <c r="B16" s="66" t="s">
        <v>0</v>
      </c>
      <c r="C16" s="144"/>
      <c r="D16" s="145"/>
      <c r="E16" s="147"/>
      <c r="F16" s="9"/>
      <c r="Z16" s="21"/>
      <c r="AA16" s="13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13"/>
      <c r="AN16" s="14"/>
    </row>
    <row r="17" spans="2:40" ht="15">
      <c r="B17" s="142" t="s">
        <v>1</v>
      </c>
      <c r="C17" s="144"/>
      <c r="D17" s="145">
        <f>'[5]BS'!$W$15/1000</f>
        <v>3025.024</v>
      </c>
      <c r="E17" s="146" t="s">
        <v>29</v>
      </c>
      <c r="F17" s="9"/>
      <c r="Z17" s="21"/>
      <c r="AA17" s="13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13"/>
      <c r="AN17" s="14"/>
    </row>
    <row r="18" spans="2:40" ht="15">
      <c r="B18" s="67" t="s">
        <v>37</v>
      </c>
      <c r="C18" s="144"/>
      <c r="D18" s="145">
        <f>('[5]BS'!$W$16+'[5]BS'!$W$17)/1000-1</f>
        <v>16263.755</v>
      </c>
      <c r="E18" s="146" t="s">
        <v>29</v>
      </c>
      <c r="F18" s="9"/>
      <c r="Z18" s="21"/>
      <c r="AA18" s="13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13"/>
      <c r="AN18" s="14"/>
    </row>
    <row r="19" spans="2:40" ht="15">
      <c r="B19" s="67" t="s">
        <v>114</v>
      </c>
      <c r="C19" s="144"/>
      <c r="D19" s="145">
        <f>'[5]BS'!$W$21/1000</f>
        <v>1225</v>
      </c>
      <c r="E19" s="146" t="s">
        <v>29</v>
      </c>
      <c r="F19" s="9"/>
      <c r="Z19" s="21"/>
      <c r="AA19" s="13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13"/>
      <c r="AN19" s="14"/>
    </row>
    <row r="20" spans="2:40" ht="15.75" thickBot="1">
      <c r="B20" s="142" t="s">
        <v>38</v>
      </c>
      <c r="C20" s="144"/>
      <c r="D20" s="148">
        <f>'[5]BS'!$W$20/1000</f>
        <v>10533.09309</v>
      </c>
      <c r="E20" s="149" t="s">
        <v>29</v>
      </c>
      <c r="F20" s="9"/>
      <c r="Z20" s="21"/>
      <c r="AA20" s="13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13"/>
      <c r="AN20" s="14"/>
    </row>
    <row r="21" spans="2:40" ht="16.5" thickBot="1">
      <c r="B21" s="142" t="s">
        <v>5</v>
      </c>
      <c r="C21" s="144"/>
      <c r="D21" s="72">
        <f>SUM(D17:D20)</f>
        <v>31046.872089999997</v>
      </c>
      <c r="E21" s="150" t="s">
        <v>29</v>
      </c>
      <c r="F21" s="9"/>
      <c r="Z21" s="21"/>
      <c r="AA21" s="13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13"/>
      <c r="AN21" s="14"/>
    </row>
    <row r="22" spans="2:40" ht="15">
      <c r="B22" s="142"/>
      <c r="C22" s="144"/>
      <c r="D22" s="145"/>
      <c r="E22" s="147"/>
      <c r="F22" s="9"/>
      <c r="Z22" s="21"/>
      <c r="AA22" s="13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13"/>
      <c r="AN22" s="14"/>
    </row>
    <row r="23" spans="2:40" ht="15.75">
      <c r="B23" s="66" t="s">
        <v>30</v>
      </c>
      <c r="C23" s="144"/>
      <c r="D23" s="145"/>
      <c r="E23" s="147"/>
      <c r="F23" s="9"/>
      <c r="Z23" s="21"/>
      <c r="AA23" s="13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13"/>
      <c r="AN23" s="14"/>
    </row>
    <row r="24" spans="2:40" ht="15">
      <c r="B24" s="142" t="s">
        <v>58</v>
      </c>
      <c r="C24" s="144"/>
      <c r="D24" s="145">
        <f>('[5]BS'!$W$25+'[5]BS'!$W$26)/1000</f>
        <v>4443.096</v>
      </c>
      <c r="E24" s="146" t="s">
        <v>29</v>
      </c>
      <c r="F24" s="9"/>
      <c r="Z24" s="21"/>
      <c r="AA24" s="13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13"/>
      <c r="AN24" s="14"/>
    </row>
    <row r="25" spans="2:40" ht="15">
      <c r="B25" s="142" t="s">
        <v>113</v>
      </c>
      <c r="C25" s="144"/>
      <c r="D25" s="145">
        <f>'[5]BS'!$W$28/1000</f>
        <v>125</v>
      </c>
      <c r="E25" s="146" t="s">
        <v>29</v>
      </c>
      <c r="F25" s="9"/>
      <c r="Z25" s="21"/>
      <c r="AA25" s="13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13"/>
      <c r="AN25" s="14"/>
    </row>
    <row r="26" spans="2:40" ht="15.75" thickBot="1">
      <c r="B26" s="142" t="s">
        <v>28</v>
      </c>
      <c r="C26" s="144"/>
      <c r="D26" s="148">
        <f>'[5]BS'!$W$31/1000</f>
        <v>202</v>
      </c>
      <c r="E26" s="149" t="s">
        <v>29</v>
      </c>
      <c r="F26" s="9"/>
      <c r="Z26" s="21"/>
      <c r="AA26" s="13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13"/>
      <c r="AN26" s="14"/>
    </row>
    <row r="27" spans="2:40" ht="16.5" thickBot="1">
      <c r="B27" s="142" t="s">
        <v>6</v>
      </c>
      <c r="C27" s="144"/>
      <c r="D27" s="72">
        <f>SUM(D24:D26)</f>
        <v>4770.096</v>
      </c>
      <c r="E27" s="150" t="s">
        <v>29</v>
      </c>
      <c r="F27" s="9"/>
      <c r="Z27" s="21"/>
      <c r="AA27" s="13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13"/>
      <c r="AN27" s="14"/>
    </row>
    <row r="28" spans="2:40" ht="15">
      <c r="B28" s="142"/>
      <c r="C28" s="144"/>
      <c r="D28" s="145"/>
      <c r="E28" s="147"/>
      <c r="F28" s="9"/>
      <c r="Z28" s="21"/>
      <c r="AA28" s="13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13"/>
      <c r="AN28" s="14"/>
    </row>
    <row r="29" spans="2:40" ht="16.5" thickBot="1">
      <c r="B29" s="142" t="s">
        <v>45</v>
      </c>
      <c r="C29" s="144"/>
      <c r="D29" s="72">
        <f>D21-D27</f>
        <v>26276.77609</v>
      </c>
      <c r="E29" s="150" t="s">
        <v>29</v>
      </c>
      <c r="F29" s="9"/>
      <c r="Z29" s="21"/>
      <c r="AA29" s="13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13"/>
      <c r="AN29" s="14"/>
    </row>
    <row r="30" spans="2:40" ht="15">
      <c r="B30" s="142"/>
      <c r="C30" s="144"/>
      <c r="D30" s="145"/>
      <c r="E30" s="147"/>
      <c r="F30" s="9"/>
      <c r="Z30" s="21"/>
      <c r="AA30" s="13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13"/>
      <c r="AN30" s="14"/>
    </row>
    <row r="31" spans="2:40" ht="16.5" thickBot="1">
      <c r="B31" s="142"/>
      <c r="C31" s="74"/>
      <c r="D31" s="72">
        <f>D13+D14+D29</f>
        <v>49749.74309</v>
      </c>
      <c r="E31" s="150" t="s">
        <v>29</v>
      </c>
      <c r="F31" s="9"/>
      <c r="Z31" s="21"/>
      <c r="AA31" s="13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13"/>
      <c r="AN31" s="14"/>
    </row>
    <row r="32" spans="2:40" ht="15">
      <c r="B32" s="142"/>
      <c r="C32" s="144"/>
      <c r="D32" s="145"/>
      <c r="E32" s="147"/>
      <c r="F32" s="9"/>
      <c r="Z32" s="21"/>
      <c r="AA32" s="13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14"/>
    </row>
    <row r="33" spans="2:40" ht="15.75">
      <c r="B33" s="66" t="s">
        <v>7</v>
      </c>
      <c r="C33" s="144"/>
      <c r="D33" s="145"/>
      <c r="E33" s="147"/>
      <c r="F33" s="9"/>
      <c r="Z33" s="13"/>
      <c r="AA33" s="13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13"/>
      <c r="AN33" s="14"/>
    </row>
    <row r="34" spans="2:40" ht="15">
      <c r="B34" s="142"/>
      <c r="C34" s="144"/>
      <c r="D34" s="145"/>
      <c r="E34" s="147"/>
      <c r="F34" s="9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4"/>
    </row>
    <row r="35" spans="2:40" ht="15">
      <c r="B35" s="142" t="s">
        <v>76</v>
      </c>
      <c r="C35" s="144"/>
      <c r="D35" s="145">
        <f>'[5]BS'!$W$40/1000</f>
        <v>40000</v>
      </c>
      <c r="E35" s="146" t="s">
        <v>29</v>
      </c>
      <c r="F35" s="9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4"/>
    </row>
    <row r="36" spans="2:40" ht="15">
      <c r="B36" s="142" t="s">
        <v>77</v>
      </c>
      <c r="C36" s="144"/>
      <c r="D36" s="145">
        <f>'[5]BS'!$W$43/1000</f>
        <v>3534.3088399999997</v>
      </c>
      <c r="E36" s="146" t="s">
        <v>29</v>
      </c>
      <c r="F36" s="9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4"/>
    </row>
    <row r="37" spans="2:40" ht="15">
      <c r="B37" s="142" t="s">
        <v>103</v>
      </c>
      <c r="C37" s="144"/>
      <c r="D37" s="145">
        <f>'[5]BS'!$W$41/1000</f>
        <v>4607.434429999999</v>
      </c>
      <c r="E37" s="146" t="s">
        <v>29</v>
      </c>
      <c r="F37" s="9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4"/>
    </row>
    <row r="38" spans="2:40" ht="15.75" thickBot="1">
      <c r="B38" s="142"/>
      <c r="C38" s="144"/>
      <c r="D38" s="148"/>
      <c r="E38" s="151"/>
      <c r="F38" s="9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4"/>
    </row>
    <row r="39" spans="2:40" ht="16.5" thickBot="1">
      <c r="B39" s="142" t="s">
        <v>104</v>
      </c>
      <c r="C39" s="144"/>
      <c r="D39" s="75">
        <f>SUM(D35:D38)-1</f>
        <v>48140.74327</v>
      </c>
      <c r="E39" s="152" t="s">
        <v>29</v>
      </c>
      <c r="F39" s="9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4"/>
      <c r="AN39" s="14"/>
    </row>
    <row r="40" spans="2:40" ht="15">
      <c r="B40" s="142"/>
      <c r="C40" s="144"/>
      <c r="D40" s="145"/>
      <c r="E40" s="147"/>
      <c r="F40" s="9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</row>
    <row r="41" spans="2:40" ht="15.75">
      <c r="B41" s="66" t="s">
        <v>8</v>
      </c>
      <c r="C41" s="144"/>
      <c r="D41" s="145"/>
      <c r="E41" s="147"/>
      <c r="F41" s="9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</row>
    <row r="42" spans="2:40" ht="15">
      <c r="B42" s="142"/>
      <c r="C42" s="144"/>
      <c r="D42" s="145"/>
      <c r="E42" s="147"/>
      <c r="F42" s="9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</row>
    <row r="43" spans="2:40" ht="15.75" thickBot="1">
      <c r="B43" s="142" t="s">
        <v>46</v>
      </c>
      <c r="C43" s="144"/>
      <c r="D43" s="145">
        <f>'[5]BS'!$W$50/1000</f>
        <v>1609</v>
      </c>
      <c r="E43" s="146" t="s">
        <v>29</v>
      </c>
      <c r="F43" s="9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spans="2:40" ht="16.5" thickBot="1">
      <c r="B44" s="142"/>
      <c r="C44" s="144"/>
      <c r="D44" s="75">
        <f>SUM(D43)</f>
        <v>1609</v>
      </c>
      <c r="E44" s="152" t="s">
        <v>29</v>
      </c>
      <c r="F44" s="9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</row>
    <row r="45" spans="2:40" ht="15">
      <c r="B45" s="142"/>
      <c r="C45" s="144"/>
      <c r="D45" s="145"/>
      <c r="E45" s="147"/>
      <c r="F45" s="9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</row>
    <row r="46" spans="2:40" ht="16.5" thickBot="1">
      <c r="B46" s="153"/>
      <c r="C46" s="73"/>
      <c r="D46" s="72">
        <f>D39+D44</f>
        <v>49749.74327</v>
      </c>
      <c r="E46" s="150" t="s">
        <v>29</v>
      </c>
      <c r="F46" s="9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</row>
    <row r="47" spans="2:40" ht="15">
      <c r="B47" s="154"/>
      <c r="C47" s="21"/>
      <c r="D47" s="155"/>
      <c r="F47" s="9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</row>
    <row r="48" spans="2:40" ht="15.75">
      <c r="B48" s="156" t="s">
        <v>61</v>
      </c>
      <c r="C48" s="21"/>
      <c r="D48" s="155">
        <v>80000</v>
      </c>
      <c r="E48" s="157" t="s">
        <v>29</v>
      </c>
      <c r="F48" s="9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</row>
    <row r="49" spans="2:40" ht="15">
      <c r="B49" s="154"/>
      <c r="C49" s="21"/>
      <c r="D49" s="155"/>
      <c r="F49" s="9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</row>
    <row r="50" spans="2:40" ht="15.75">
      <c r="B50" s="156" t="s">
        <v>126</v>
      </c>
      <c r="C50" s="21"/>
      <c r="D50" s="158">
        <f>D39/D48</f>
        <v>0.601759290875</v>
      </c>
      <c r="E50" s="159" t="s">
        <v>29</v>
      </c>
      <c r="F50" s="9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</row>
    <row r="51" spans="3:40" ht="15">
      <c r="C51" s="21"/>
      <c r="D51" s="155"/>
      <c r="F51" s="9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</row>
    <row r="52" spans="2:40" ht="15.75">
      <c r="B52" s="114" t="s">
        <v>65</v>
      </c>
      <c r="C52" s="134"/>
      <c r="D52" s="11"/>
      <c r="F52" s="9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</row>
    <row r="53" spans="4:40" ht="15.75">
      <c r="D53" s="11"/>
      <c r="F53" s="9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</row>
    <row r="54" spans="1:40" ht="15">
      <c r="A54" s="14"/>
      <c r="B54" s="133" t="s">
        <v>130</v>
      </c>
      <c r="C54" s="160"/>
      <c r="D54" s="161"/>
      <c r="E54" s="161"/>
      <c r="F54" s="9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</row>
    <row r="55" spans="2:40" ht="15">
      <c r="B55" s="133" t="s">
        <v>95</v>
      </c>
      <c r="C55" s="160"/>
      <c r="D55" s="162"/>
      <c r="E55" s="162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</row>
    <row r="56" spans="2:40" ht="15">
      <c r="B56" s="162"/>
      <c r="C56" s="160"/>
      <c r="D56" s="162"/>
      <c r="E56" s="162"/>
      <c r="F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</row>
    <row r="57" spans="2:40" ht="15">
      <c r="B57" s="162"/>
      <c r="C57" s="160"/>
      <c r="D57" s="162"/>
      <c r="E57" s="162"/>
      <c r="F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</row>
    <row r="58" spans="2:40" ht="15">
      <c r="B58" s="162"/>
      <c r="C58" s="160"/>
      <c r="D58" s="162"/>
      <c r="E58" s="162"/>
      <c r="F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</row>
    <row r="59" spans="2:40" ht="15">
      <c r="B59" s="162"/>
      <c r="C59" s="160"/>
      <c r="D59" s="162"/>
      <c r="E59" s="162"/>
      <c r="F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</row>
    <row r="60" spans="2:40" ht="15">
      <c r="B60" s="162"/>
      <c r="C60" s="160"/>
      <c r="D60" s="162"/>
      <c r="E60" s="162"/>
      <c r="F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</row>
    <row r="61" spans="2:6" ht="15">
      <c r="B61" s="162"/>
      <c r="C61" s="160"/>
      <c r="D61" s="162"/>
      <c r="E61" s="162"/>
      <c r="F61" s="14"/>
    </row>
    <row r="62" spans="2:6" ht="15">
      <c r="B62" s="162"/>
      <c r="C62" s="160"/>
      <c r="D62" s="162"/>
      <c r="E62" s="162"/>
      <c r="F62" s="14"/>
    </row>
    <row r="63" spans="2:6" ht="15">
      <c r="B63" s="162"/>
      <c r="C63" s="160"/>
      <c r="D63" s="162"/>
      <c r="E63" s="162"/>
      <c r="F63" s="14"/>
    </row>
    <row r="64" spans="2:6" ht="15">
      <c r="B64" s="162"/>
      <c r="C64" s="160"/>
      <c r="D64" s="162"/>
      <c r="E64" s="162"/>
      <c r="F64" s="14"/>
    </row>
    <row r="65" spans="2:6" ht="15">
      <c r="B65" s="162"/>
      <c r="C65" s="160"/>
      <c r="D65" s="162"/>
      <c r="E65" s="162"/>
      <c r="F65" s="14"/>
    </row>
    <row r="66" spans="2:6" ht="15">
      <c r="B66" s="162"/>
      <c r="C66" s="160"/>
      <c r="D66" s="162"/>
      <c r="E66" s="162"/>
      <c r="F66" s="14"/>
    </row>
    <row r="103" spans="2:6" ht="15">
      <c r="B103" s="161"/>
      <c r="C103" s="160"/>
      <c r="D103" s="161"/>
      <c r="E103" s="161"/>
      <c r="F103" s="14"/>
    </row>
    <row r="104" spans="2:6" ht="15">
      <c r="B104" s="161"/>
      <c r="C104" s="160"/>
      <c r="D104" s="161"/>
      <c r="E104" s="161"/>
      <c r="F104" s="14"/>
    </row>
    <row r="105" spans="2:6" ht="15.75">
      <c r="B105" s="15"/>
      <c r="C105" s="21"/>
      <c r="D105" s="93"/>
      <c r="E105" s="93"/>
      <c r="F105" s="14"/>
    </row>
    <row r="106" spans="2:7" ht="15.75">
      <c r="B106" s="15"/>
      <c r="C106" s="21"/>
      <c r="D106" s="154"/>
      <c r="E106" s="154"/>
      <c r="F106" s="13"/>
      <c r="G106" s="13"/>
    </row>
    <row r="107" spans="2:7" ht="15.75">
      <c r="B107" s="15"/>
      <c r="C107" s="21"/>
      <c r="D107" s="93"/>
      <c r="E107" s="93"/>
      <c r="F107" s="14"/>
      <c r="G107" s="13"/>
    </row>
    <row r="108" spans="2:7" ht="15.75">
      <c r="B108" s="15"/>
      <c r="C108" s="21"/>
      <c r="D108" s="154"/>
      <c r="E108" s="154"/>
      <c r="F108" s="13"/>
      <c r="G108" s="13"/>
    </row>
    <row r="109" spans="2:7" ht="15.75">
      <c r="B109" s="15"/>
      <c r="C109" s="21"/>
      <c r="D109" s="154"/>
      <c r="E109" s="154"/>
      <c r="F109" s="13"/>
      <c r="G109" s="13"/>
    </row>
    <row r="110" spans="2:7" ht="15.75">
      <c r="B110" s="15"/>
      <c r="C110" s="21"/>
      <c r="D110" s="154"/>
      <c r="E110" s="154"/>
      <c r="F110" s="13"/>
      <c r="G110" s="13"/>
    </row>
    <row r="111" spans="2:7" ht="15.75">
      <c r="B111" s="15"/>
      <c r="C111" s="21"/>
      <c r="D111" s="154"/>
      <c r="E111" s="154"/>
      <c r="F111" s="13"/>
      <c r="G111" s="13"/>
    </row>
    <row r="112" spans="2:7" ht="15.75">
      <c r="B112" s="15"/>
      <c r="C112" s="21"/>
      <c r="D112" s="154"/>
      <c r="E112" s="154"/>
      <c r="F112" s="13"/>
      <c r="G112" s="13"/>
    </row>
    <row r="113" spans="2:7" ht="15.75">
      <c r="B113" s="154"/>
      <c r="C113" s="16"/>
      <c r="D113" s="16"/>
      <c r="E113" s="16"/>
      <c r="F113" s="13"/>
      <c r="G113" s="13"/>
    </row>
    <row r="114" spans="2:7" ht="15.75">
      <c r="B114" s="154"/>
      <c r="C114" s="16"/>
      <c r="D114" s="16"/>
      <c r="E114" s="16"/>
      <c r="F114" s="13"/>
      <c r="G114" s="13"/>
    </row>
    <row r="115" spans="2:7" ht="15.75">
      <c r="B115" s="154"/>
      <c r="C115" s="16"/>
      <c r="D115" s="16"/>
      <c r="E115" s="16"/>
      <c r="F115" s="13"/>
      <c r="G115" s="13"/>
    </row>
    <row r="116" spans="2:7" ht="15">
      <c r="B116" s="154"/>
      <c r="C116" s="21"/>
      <c r="D116" s="154"/>
      <c r="E116" s="154"/>
      <c r="F116" s="13"/>
      <c r="G116" s="13"/>
    </row>
    <row r="117" spans="2:7" ht="15">
      <c r="B117" s="154"/>
      <c r="C117" s="17"/>
      <c r="D117" s="155"/>
      <c r="E117" s="155"/>
      <c r="F117" s="18"/>
      <c r="G117" s="13"/>
    </row>
    <row r="118" spans="2:7" ht="15">
      <c r="B118" s="154"/>
      <c r="C118" s="17"/>
      <c r="D118" s="155"/>
      <c r="E118" s="155"/>
      <c r="F118" s="13"/>
      <c r="G118" s="13"/>
    </row>
    <row r="119" spans="2:7" ht="15">
      <c r="B119" s="154"/>
      <c r="C119" s="17"/>
      <c r="D119" s="155"/>
      <c r="E119" s="155"/>
      <c r="F119" s="18"/>
      <c r="G119" s="13"/>
    </row>
    <row r="120" spans="2:7" ht="15">
      <c r="B120" s="154"/>
      <c r="C120" s="17"/>
      <c r="D120" s="155"/>
      <c r="E120" s="155"/>
      <c r="F120" s="13"/>
      <c r="G120" s="13"/>
    </row>
    <row r="121" spans="2:7" ht="15">
      <c r="B121" s="154"/>
      <c r="C121" s="17"/>
      <c r="D121" s="155"/>
      <c r="E121" s="155"/>
      <c r="F121" s="13"/>
      <c r="G121" s="13"/>
    </row>
    <row r="122" spans="2:7" ht="15">
      <c r="B122" s="154"/>
      <c r="C122" s="17"/>
      <c r="D122" s="155"/>
      <c r="E122" s="155"/>
      <c r="F122" s="18"/>
      <c r="G122" s="13"/>
    </row>
    <row r="123" spans="2:7" ht="15">
      <c r="B123" s="154"/>
      <c r="C123" s="17"/>
      <c r="D123" s="155"/>
      <c r="E123" s="155"/>
      <c r="F123" s="13"/>
      <c r="G123" s="13"/>
    </row>
    <row r="124" spans="2:7" ht="15">
      <c r="B124" s="154"/>
      <c r="C124" s="17"/>
      <c r="D124" s="155"/>
      <c r="E124" s="155"/>
      <c r="F124" s="18"/>
      <c r="G124" s="13"/>
    </row>
    <row r="125" spans="2:6" ht="15">
      <c r="B125" s="154"/>
      <c r="C125" s="17"/>
      <c r="D125" s="155"/>
      <c r="E125" s="155"/>
      <c r="F125" s="13"/>
    </row>
    <row r="126" spans="2:6" ht="15">
      <c r="B126" s="93"/>
      <c r="C126" s="21"/>
      <c r="D126" s="93"/>
      <c r="E126" s="93"/>
      <c r="F126" s="14"/>
    </row>
    <row r="127" spans="2:6" ht="15">
      <c r="B127" s="93"/>
      <c r="C127" s="21"/>
      <c r="D127" s="93"/>
      <c r="E127" s="93"/>
      <c r="F127" s="14"/>
    </row>
    <row r="128" spans="2:6" ht="15">
      <c r="B128" s="93"/>
      <c r="C128" s="21"/>
      <c r="D128" s="93"/>
      <c r="E128" s="93"/>
      <c r="F128" s="14"/>
    </row>
    <row r="129" spans="2:6" ht="15">
      <c r="B129" s="93"/>
      <c r="C129" s="21"/>
      <c r="D129" s="93"/>
      <c r="E129" s="93"/>
      <c r="F129" s="14"/>
    </row>
    <row r="130" spans="2:6" ht="15">
      <c r="B130" s="93"/>
      <c r="C130" s="21"/>
      <c r="D130" s="93"/>
      <c r="E130" s="93"/>
      <c r="F130" s="14"/>
    </row>
    <row r="131" spans="2:6" ht="15">
      <c r="B131" s="93"/>
      <c r="C131" s="21"/>
      <c r="D131" s="93"/>
      <c r="E131" s="93"/>
      <c r="F131" s="14"/>
    </row>
    <row r="132" spans="2:6" ht="15">
      <c r="B132" s="93"/>
      <c r="C132" s="21"/>
      <c r="D132" s="93"/>
      <c r="E132" s="93"/>
      <c r="F132" s="14"/>
    </row>
    <row r="133" spans="2:6" ht="15">
      <c r="B133" s="93"/>
      <c r="C133" s="21"/>
      <c r="D133" s="93"/>
      <c r="E133" s="93"/>
      <c r="F133" s="14"/>
    </row>
    <row r="134" spans="2:6" ht="15">
      <c r="B134" s="93"/>
      <c r="C134" s="21"/>
      <c r="D134" s="93"/>
      <c r="E134" s="93"/>
      <c r="F134" s="14"/>
    </row>
    <row r="135" spans="2:6" ht="15">
      <c r="B135" s="93"/>
      <c r="C135" s="21"/>
      <c r="D135" s="93"/>
      <c r="E135" s="93"/>
      <c r="F135" s="14"/>
    </row>
    <row r="136" spans="2:6" ht="15">
      <c r="B136" s="93"/>
      <c r="C136" s="21"/>
      <c r="D136" s="93"/>
      <c r="E136" s="93"/>
      <c r="F136" s="14"/>
    </row>
    <row r="137" spans="2:6" ht="15">
      <c r="B137" s="93"/>
      <c r="C137" s="21"/>
      <c r="D137" s="93"/>
      <c r="E137" s="93"/>
      <c r="F137" s="14"/>
    </row>
  </sheetData>
  <printOptions/>
  <pageMargins left="0.4724409448818898" right="0.15748031496062992" top="0.5511811023622047" bottom="0.2362204724409449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76"/>
  <sheetViews>
    <sheetView showOutlineSymbols="0" zoomScale="87" zoomScaleNormal="87" workbookViewId="0" topLeftCell="A49">
      <selection activeCell="D25" sqref="D25"/>
    </sheetView>
  </sheetViews>
  <sheetFormatPr defaultColWidth="9.6640625" defaultRowHeight="15"/>
  <cols>
    <col min="1" max="1" width="3.88671875" style="1" customWidth="1"/>
    <col min="2" max="2" width="32.21484375" style="135" customWidth="1"/>
    <col min="3" max="3" width="6.99609375" style="134" bestFit="1" customWidth="1"/>
    <col min="4" max="5" width="17.5546875" style="135" bestFit="1" customWidth="1"/>
    <col min="6" max="6" width="13.6640625" style="135" bestFit="1" customWidth="1"/>
    <col min="7" max="16384" width="9.6640625" style="1" customWidth="1"/>
  </cols>
  <sheetData>
    <row r="2" spans="2:6" ht="16.5" thickBot="1">
      <c r="B2" s="10" t="s">
        <v>36</v>
      </c>
      <c r="C2" s="11"/>
      <c r="D2" s="85"/>
      <c r="E2" s="85"/>
      <c r="F2" s="85"/>
    </row>
    <row r="3" spans="2:6" ht="15.75">
      <c r="B3" s="65" t="s">
        <v>33</v>
      </c>
      <c r="C3" s="86"/>
      <c r="D3" s="87"/>
      <c r="E3" s="88"/>
      <c r="F3" s="85"/>
    </row>
    <row r="4" spans="2:6" ht="16.5" thickBot="1">
      <c r="B4" s="89" t="s">
        <v>9</v>
      </c>
      <c r="C4" s="90"/>
      <c r="D4" s="91"/>
      <c r="E4" s="92"/>
      <c r="F4" s="85"/>
    </row>
    <row r="5" spans="2:6" ht="15.75">
      <c r="B5" s="66"/>
      <c r="C5" s="16"/>
      <c r="D5" s="87"/>
      <c r="E5" s="88"/>
      <c r="F5" s="85"/>
    </row>
    <row r="6" spans="2:6" ht="15.75">
      <c r="B6" s="66" t="s">
        <v>23</v>
      </c>
      <c r="C6" s="16"/>
      <c r="D6" s="93"/>
      <c r="E6" s="94"/>
      <c r="F6" s="85"/>
    </row>
    <row r="7" spans="2:6" ht="15.75">
      <c r="B7" s="66" t="s">
        <v>123</v>
      </c>
      <c r="C7" s="16"/>
      <c r="D7" s="93"/>
      <c r="E7" s="94"/>
      <c r="F7" s="85"/>
    </row>
    <row r="8" spans="2:6" ht="15.75">
      <c r="B8" s="66" t="s">
        <v>108</v>
      </c>
      <c r="C8" s="16"/>
      <c r="D8" s="93"/>
      <c r="E8" s="94"/>
      <c r="F8" s="85"/>
    </row>
    <row r="9" spans="2:6" ht="16.5" thickBot="1">
      <c r="B9" s="89" t="s">
        <v>11</v>
      </c>
      <c r="C9" s="90"/>
      <c r="D9" s="91"/>
      <c r="E9" s="92"/>
      <c r="F9" s="85"/>
    </row>
    <row r="10" spans="2:6" ht="15.75">
      <c r="B10" s="65"/>
      <c r="C10" s="95"/>
      <c r="D10" s="96"/>
      <c r="E10" s="97"/>
      <c r="F10" s="85"/>
    </row>
    <row r="11" spans="2:6" ht="15">
      <c r="B11" s="67"/>
      <c r="C11" s="97"/>
      <c r="D11" s="97" t="s">
        <v>64</v>
      </c>
      <c r="E11" s="97" t="s">
        <v>24</v>
      </c>
      <c r="F11" s="85"/>
    </row>
    <row r="12" spans="2:6" ht="15">
      <c r="B12" s="67"/>
      <c r="C12" s="97"/>
      <c r="D12" s="97" t="s">
        <v>25</v>
      </c>
      <c r="E12" s="97" t="s">
        <v>26</v>
      </c>
      <c r="F12" s="85"/>
    </row>
    <row r="13" spans="2:6" ht="15">
      <c r="B13" s="67"/>
      <c r="C13" s="97"/>
      <c r="D13" s="98" t="s">
        <v>109</v>
      </c>
      <c r="E13" s="98" t="s">
        <v>109</v>
      </c>
      <c r="F13" s="85"/>
    </row>
    <row r="14" spans="2:6" ht="15.75" thickBot="1">
      <c r="B14" s="67"/>
      <c r="C14" s="97" t="s">
        <v>48</v>
      </c>
      <c r="D14" s="99" t="s">
        <v>15</v>
      </c>
      <c r="E14" s="99" t="s">
        <v>15</v>
      </c>
      <c r="F14" s="85"/>
    </row>
    <row r="15" spans="2:6" ht="15">
      <c r="B15" s="67" t="s">
        <v>2</v>
      </c>
      <c r="C15" s="97"/>
      <c r="D15" s="100">
        <f>'[6]Oct-Dec''05 Qtr KFB P&amp;L'!$O$9/1000</f>
        <v>11720.199130000003</v>
      </c>
      <c r="E15" s="101">
        <f>'[6]Oct-Dec''05 Qtr KFB P&amp;L'!$M$9/1000</f>
        <v>26559.544130000002</v>
      </c>
      <c r="F15" s="85"/>
    </row>
    <row r="16" spans="2:6" ht="15">
      <c r="B16" s="67"/>
      <c r="C16" s="97"/>
      <c r="D16" s="100"/>
      <c r="E16" s="101"/>
      <c r="F16" s="85"/>
    </row>
    <row r="17" spans="2:6" ht="15">
      <c r="B17" s="67" t="s">
        <v>27</v>
      </c>
      <c r="C17" s="97"/>
      <c r="D17" s="100">
        <f>-'[6]Oct-Dec''05 Qtr KFB P&amp;L'!$O$18/1000</f>
        <v>-7492.14</v>
      </c>
      <c r="E17" s="101">
        <f>-'[6]Oct-Dec''05 Qtr KFB P&amp;L'!$M$18/1000</f>
        <v>-15830.084</v>
      </c>
      <c r="F17" s="85"/>
    </row>
    <row r="18" spans="2:6" ht="15.75" thickBot="1">
      <c r="B18" s="67"/>
      <c r="C18" s="97"/>
      <c r="D18" s="102"/>
      <c r="E18" s="103"/>
      <c r="F18" s="85"/>
    </row>
    <row r="19" spans="2:6" ht="15.75">
      <c r="B19" s="66" t="s">
        <v>3</v>
      </c>
      <c r="C19" s="97"/>
      <c r="D19" s="104">
        <f>SUM(D15:D18)</f>
        <v>4228.059130000002</v>
      </c>
      <c r="E19" s="105">
        <f>SUM(E15:E18)+1</f>
        <v>10730.460130000001</v>
      </c>
      <c r="F19" s="85"/>
    </row>
    <row r="20" spans="2:6" ht="15">
      <c r="B20" s="67"/>
      <c r="C20" s="97"/>
      <c r="D20" s="106"/>
      <c r="E20" s="101"/>
      <c r="F20" s="85"/>
    </row>
    <row r="21" spans="2:6" ht="15">
      <c r="B21" s="67" t="s">
        <v>47</v>
      </c>
      <c r="C21" s="97"/>
      <c r="D21" s="106">
        <f>'[6]Oct-Dec''05 Qtr KFB P&amp;L'!$O$32/1000</f>
        <v>145.26276000000163</v>
      </c>
      <c r="E21" s="101">
        <f>'[6]Oct-Dec''05 Qtr KFB P&amp;L'!$M$32/1000</f>
        <v>987.9257600000017</v>
      </c>
      <c r="F21" s="85"/>
    </row>
    <row r="22" spans="2:6" ht="15">
      <c r="B22" s="67" t="s">
        <v>78</v>
      </c>
      <c r="C22" s="97"/>
      <c r="D22" s="106">
        <f>'[6]Oct-Dec''05 Qtr KFB P&amp;L'!$O$36/1000</f>
        <v>-1778.53577</v>
      </c>
      <c r="E22" s="101">
        <f>'[6]Oct-Dec''05 Qtr KFB P&amp;L'!$M$36/1000</f>
        <v>-3113.67177</v>
      </c>
      <c r="F22" s="85"/>
    </row>
    <row r="23" spans="2:6" ht="15">
      <c r="B23" s="67" t="s">
        <v>79</v>
      </c>
      <c r="C23" s="97"/>
      <c r="D23" s="106">
        <f>'[6]Oct-Dec''05 Qtr KFB P&amp;L'!$O$37/1000</f>
        <v>-1269.34242</v>
      </c>
      <c r="E23" s="101">
        <f>'[6]Oct-Dec''05 Qtr KFB P&amp;L'!$M$37/1000</f>
        <v>-2908.84342</v>
      </c>
      <c r="F23" s="85"/>
    </row>
    <row r="24" spans="2:6" ht="15.75" thickBot="1">
      <c r="B24" s="67"/>
      <c r="C24" s="97"/>
      <c r="D24" s="103"/>
      <c r="E24" s="103"/>
      <c r="F24" s="85"/>
    </row>
    <row r="25" spans="2:6" ht="15.75">
      <c r="B25" s="66" t="s">
        <v>10</v>
      </c>
      <c r="C25" s="97"/>
      <c r="D25" s="107">
        <f>SUM(D19:D24)</f>
        <v>1325.443700000004</v>
      </c>
      <c r="E25" s="108">
        <f>SUM(E19:E24)-1</f>
        <v>5694.870700000004</v>
      </c>
      <c r="F25" s="85"/>
    </row>
    <row r="26" spans="2:6" ht="15">
      <c r="B26" s="67"/>
      <c r="C26" s="97"/>
      <c r="D26" s="100"/>
      <c r="E26" s="101"/>
      <c r="F26" s="85"/>
    </row>
    <row r="27" spans="2:6" ht="15">
      <c r="B27" s="67" t="s">
        <v>12</v>
      </c>
      <c r="C27" s="97"/>
      <c r="D27" s="100">
        <f>'[6]Oct-Dec''05 Qtr KFB P&amp;L'!$O$40/1000+1</f>
        <v>-76.51832</v>
      </c>
      <c r="E27" s="101">
        <f>'[6]Oct-Dec''05 Qtr KFB P&amp;L'!$M$40/1000</f>
        <v>-196.12132</v>
      </c>
      <c r="F27" s="85"/>
    </row>
    <row r="28" spans="2:6" ht="15.75" thickBot="1">
      <c r="B28" s="67"/>
      <c r="C28" s="97"/>
      <c r="D28" s="102"/>
      <c r="E28" s="103"/>
      <c r="F28" s="85"/>
    </row>
    <row r="29" spans="2:6" ht="15.75">
      <c r="B29" s="66" t="s">
        <v>39</v>
      </c>
      <c r="C29" s="97"/>
      <c r="D29" s="107">
        <f>SUM(D25:D28)-1</f>
        <v>1247.925380000004</v>
      </c>
      <c r="E29" s="108">
        <f>SUM(E25:E28)</f>
        <v>5498.749380000004</v>
      </c>
      <c r="F29" s="85"/>
    </row>
    <row r="30" spans="2:6" ht="15">
      <c r="B30" s="67"/>
      <c r="C30" s="97"/>
      <c r="D30" s="100"/>
      <c r="E30" s="101"/>
      <c r="F30" s="85"/>
    </row>
    <row r="31" spans="2:6" ht="15">
      <c r="B31" s="67" t="s">
        <v>28</v>
      </c>
      <c r="C31" s="97" t="s">
        <v>49</v>
      </c>
      <c r="D31" s="100">
        <f>'[6]Oct-Dec''05 Qtr KFB P&amp;L'!$O$49/1000-1</f>
        <v>16.759</v>
      </c>
      <c r="E31" s="101">
        <f>'[6]Oct-Dec''05 Qtr KFB P&amp;L'!$M$49/1000</f>
        <v>-303.676</v>
      </c>
      <c r="F31" s="85"/>
    </row>
    <row r="32" spans="2:6" ht="15.75" thickBot="1">
      <c r="B32" s="67"/>
      <c r="C32" s="97"/>
      <c r="D32" s="92"/>
      <c r="E32" s="109"/>
      <c r="F32" s="85"/>
    </row>
    <row r="33" spans="2:6" ht="15">
      <c r="B33" s="67"/>
      <c r="C33" s="97"/>
      <c r="D33" s="94"/>
      <c r="E33" s="110"/>
      <c r="F33" s="85"/>
    </row>
    <row r="34" spans="2:6" ht="15.75">
      <c r="B34" s="66" t="s">
        <v>50</v>
      </c>
      <c r="C34" s="97"/>
      <c r="D34" s="107">
        <f>SUM(D29:D32)</f>
        <v>1264.684380000004</v>
      </c>
      <c r="E34" s="108">
        <f>SUM(E29:E32)</f>
        <v>5195.073380000003</v>
      </c>
      <c r="F34" s="85"/>
    </row>
    <row r="35" spans="2:6" ht="15.75" thickBot="1">
      <c r="B35" s="111"/>
      <c r="C35" s="99"/>
      <c r="D35" s="92"/>
      <c r="E35" s="109"/>
      <c r="F35" s="85"/>
    </row>
    <row r="36" spans="2:6" ht="15">
      <c r="B36" s="67" t="s">
        <v>73</v>
      </c>
      <c r="C36" s="21" t="s">
        <v>51</v>
      </c>
      <c r="D36" s="171">
        <v>1.58</v>
      </c>
      <c r="E36" s="171">
        <v>11.51</v>
      </c>
      <c r="F36" s="85"/>
    </row>
    <row r="37" spans="2:6" ht="15.75" thickBot="1">
      <c r="B37" s="111" t="s">
        <v>60</v>
      </c>
      <c r="C37" s="112"/>
      <c r="D37" s="113" t="s">
        <v>29</v>
      </c>
      <c r="E37" s="113" t="s">
        <v>29</v>
      </c>
      <c r="F37" s="85"/>
    </row>
    <row r="39" spans="2:6" ht="15">
      <c r="B39" s="114" t="s">
        <v>65</v>
      </c>
      <c r="C39" s="115"/>
      <c r="D39" s="114"/>
      <c r="E39" s="114"/>
      <c r="F39" s="114"/>
    </row>
    <row r="40" spans="2:6" ht="15">
      <c r="B40" s="114"/>
      <c r="C40" s="115"/>
      <c r="D40" s="114"/>
      <c r="E40" s="114"/>
      <c r="F40" s="114"/>
    </row>
    <row r="41" spans="2:6" ht="15">
      <c r="B41" s="114" t="s">
        <v>67</v>
      </c>
      <c r="C41" s="115"/>
      <c r="D41" s="114"/>
      <c r="E41" s="114"/>
      <c r="F41" s="114"/>
    </row>
    <row r="42" spans="2:6" ht="15">
      <c r="B42" s="114"/>
      <c r="C42" s="115"/>
      <c r="D42" s="114"/>
      <c r="E42" s="114"/>
      <c r="F42" s="114"/>
    </row>
    <row r="43" spans="2:6" ht="15">
      <c r="B43" s="114" t="s">
        <v>96</v>
      </c>
      <c r="C43" s="115"/>
      <c r="D43" s="114"/>
      <c r="E43" s="114"/>
      <c r="F43" s="114"/>
    </row>
    <row r="44" spans="2:6" ht="15">
      <c r="B44" s="114" t="s">
        <v>120</v>
      </c>
      <c r="C44" s="115"/>
      <c r="D44" s="114"/>
      <c r="E44" s="114"/>
      <c r="F44" s="114"/>
    </row>
    <row r="45" spans="2:6" ht="15">
      <c r="B45" s="114" t="s">
        <v>121</v>
      </c>
      <c r="C45" s="115"/>
      <c r="D45" s="114"/>
      <c r="E45" s="114"/>
      <c r="F45" s="114"/>
    </row>
    <row r="46" spans="2:6" ht="15">
      <c r="B46" s="114"/>
      <c r="C46" s="115"/>
      <c r="D46" s="114"/>
      <c r="E46" s="114"/>
      <c r="F46" s="114"/>
    </row>
    <row r="47" spans="2:6" ht="15">
      <c r="B47" s="114" t="s">
        <v>127</v>
      </c>
      <c r="C47" s="115"/>
      <c r="D47" s="114"/>
      <c r="E47" s="114"/>
      <c r="F47" s="114"/>
    </row>
    <row r="48" spans="2:6" ht="15">
      <c r="B48" s="114" t="s">
        <v>97</v>
      </c>
      <c r="C48" s="115"/>
      <c r="D48" s="114"/>
      <c r="E48" s="114"/>
      <c r="F48" s="114"/>
    </row>
    <row r="49" spans="2:6" ht="15">
      <c r="B49" s="114"/>
      <c r="C49" s="115"/>
      <c r="D49" s="114"/>
      <c r="E49" s="114"/>
      <c r="F49" s="114"/>
    </row>
    <row r="50" spans="2:6" ht="15">
      <c r="B50" s="114"/>
      <c r="C50" s="115"/>
      <c r="D50" s="114"/>
      <c r="E50" s="114"/>
      <c r="F50" s="114"/>
    </row>
    <row r="51" spans="2:6" ht="15">
      <c r="B51" s="114" t="s">
        <v>128</v>
      </c>
      <c r="C51" s="115"/>
      <c r="D51" s="114"/>
      <c r="E51" s="114"/>
      <c r="F51" s="114"/>
    </row>
    <row r="52" spans="2:6" ht="15">
      <c r="B52" s="114"/>
      <c r="C52" s="115"/>
      <c r="D52" s="114"/>
      <c r="E52" s="114"/>
      <c r="F52" s="114"/>
    </row>
    <row r="53" spans="2:6" ht="15.75">
      <c r="B53" s="114"/>
      <c r="C53" s="115"/>
      <c r="D53" s="116" t="s">
        <v>24</v>
      </c>
      <c r="E53" s="117"/>
      <c r="F53" s="117"/>
    </row>
    <row r="54" spans="2:6" ht="15.75">
      <c r="B54" s="114"/>
      <c r="C54" s="115"/>
      <c r="D54" s="116" t="s">
        <v>55</v>
      </c>
      <c r="E54" s="117"/>
      <c r="F54" s="117"/>
    </row>
    <row r="55" spans="2:6" ht="15.75">
      <c r="B55" s="114"/>
      <c r="C55" s="115"/>
      <c r="D55" s="116" t="s">
        <v>17</v>
      </c>
      <c r="E55" s="116"/>
      <c r="F55" s="117"/>
    </row>
    <row r="56" spans="2:6" ht="15.75">
      <c r="B56" s="114"/>
      <c r="C56" s="115"/>
      <c r="D56" s="118" t="s">
        <v>119</v>
      </c>
      <c r="E56" s="116" t="s">
        <v>74</v>
      </c>
      <c r="F56" s="117" t="s">
        <v>75</v>
      </c>
    </row>
    <row r="57" spans="2:6" ht="15.75">
      <c r="B57" s="114"/>
      <c r="C57" s="115"/>
      <c r="D57" s="116" t="s">
        <v>15</v>
      </c>
      <c r="E57" s="119" t="s">
        <v>15</v>
      </c>
      <c r="F57" s="119" t="s">
        <v>15</v>
      </c>
    </row>
    <row r="58" spans="2:6" ht="15">
      <c r="B58" s="114" t="s">
        <v>2</v>
      </c>
      <c r="C58" s="170" t="s">
        <v>43</v>
      </c>
      <c r="D58" s="120">
        <f>'[6]YTD KFB P&amp;L'!$J$9/1000+1</f>
        <v>36346.146</v>
      </c>
      <c r="E58" s="121">
        <v>9785.601869999999</v>
      </c>
      <c r="F58" s="122">
        <f>D58-E58-1</f>
        <v>26559.544130000002</v>
      </c>
    </row>
    <row r="59" spans="2:6" ht="15.75" thickBot="1">
      <c r="B59" s="114" t="s">
        <v>40</v>
      </c>
      <c r="C59" s="115"/>
      <c r="D59" s="123">
        <f>-'[6]YTD KFB P&amp;L'!$J$18/1000</f>
        <v>-20825.226</v>
      </c>
      <c r="E59" s="124">
        <v>-4995.1415799999995</v>
      </c>
      <c r="F59" s="124">
        <f>D59-E59</f>
        <v>-15830.08442</v>
      </c>
    </row>
    <row r="60" spans="2:6" ht="15">
      <c r="B60" s="114" t="s">
        <v>3</v>
      </c>
      <c r="C60" s="115"/>
      <c r="D60" s="125">
        <f>SUM(D58:D59)-1</f>
        <v>15519.920000000002</v>
      </c>
      <c r="E60" s="126">
        <v>4790.460289999999</v>
      </c>
      <c r="F60" s="126">
        <f>SUM(F58:F59)+1</f>
        <v>10730.459710000003</v>
      </c>
    </row>
    <row r="61" spans="2:6" ht="15">
      <c r="B61" s="114"/>
      <c r="C61" s="115"/>
      <c r="D61" s="123"/>
      <c r="E61" s="114"/>
      <c r="F61" s="127"/>
    </row>
    <row r="62" spans="2:6" ht="15">
      <c r="B62" s="114" t="s">
        <v>47</v>
      </c>
      <c r="C62" s="115"/>
      <c r="D62" s="123">
        <f>'[6]YTD KFB P&amp;L'!$J$32/1000</f>
        <v>1214.0187600000017</v>
      </c>
      <c r="E62" s="128">
        <f>'[3]Jul-Sep''05 Qtr KFB P&amp;L'!$G$32/1000</f>
        <v>226.09263</v>
      </c>
      <c r="F62" s="122">
        <f>D62-E62</f>
        <v>987.9261300000018</v>
      </c>
    </row>
    <row r="63" spans="2:6" ht="15">
      <c r="B63" s="114" t="s">
        <v>78</v>
      </c>
      <c r="C63" s="115"/>
      <c r="D63" s="123">
        <f>'[6]YTD KFB P&amp;L'!$J$36/1000-1</f>
        <v>-3521.271</v>
      </c>
      <c r="E63" s="128">
        <f>('[3]Jul-Sep'05 Qtr KFB P&amp;L'!$G$36+'[3]Jul-Sep'05 Qtr KFB P&amp;L'!$H$36)/1000</f>
        <v>-406.59923</v>
      </c>
      <c r="F63" s="121">
        <f>D63-E63+1</f>
        <v>-3113.6717700000004</v>
      </c>
    </row>
    <row r="64" spans="2:6" ht="15.75" thickBot="1">
      <c r="B64" s="114" t="s">
        <v>79</v>
      </c>
      <c r="C64" s="115"/>
      <c r="D64" s="129">
        <f>'[6]YTD KFB P&amp;L'!$J$37/1000</f>
        <v>-3154.281</v>
      </c>
      <c r="E64" s="124">
        <f>('[3]Jul-Sep'05 Qtr KFB P&amp;L'!$G$37+'[3]Jul-Sep'05 Qtr KFB P&amp;L'!$H$37)/1000</f>
        <v>-245.43758</v>
      </c>
      <c r="F64" s="124">
        <f>D64-E64</f>
        <v>-2908.84342</v>
      </c>
    </row>
    <row r="65" spans="2:6" ht="15">
      <c r="B65" s="114" t="s">
        <v>10</v>
      </c>
      <c r="C65" s="115"/>
      <c r="D65" s="130">
        <f>SUM(D60:D64)+1</f>
        <v>10059.386760000005</v>
      </c>
      <c r="E65" s="130">
        <f>SUM(E60:E64)</f>
        <v>4364.51611</v>
      </c>
      <c r="F65" s="130">
        <f>SUM(F60:F64)-1</f>
        <v>5694.8706500000035</v>
      </c>
    </row>
    <row r="66" spans="2:6" ht="15">
      <c r="B66" s="114"/>
      <c r="C66" s="115"/>
      <c r="D66" s="123"/>
      <c r="E66" s="114"/>
      <c r="F66" s="127"/>
    </row>
    <row r="67" spans="2:6" ht="15.75" thickBot="1">
      <c r="B67" s="114" t="s">
        <v>12</v>
      </c>
      <c r="C67" s="115"/>
      <c r="D67" s="123">
        <f>'[6]YTD KFB P&amp;L'!$J$40/1000</f>
        <v>-325.469</v>
      </c>
      <c r="E67" s="124">
        <f>('[3]Jul-Sep'05 Qtr KFB P&amp;L'!$G$40+'[3]Jul-Sep'05 Qtr KFB P&amp;L'!$H$40)/1000</f>
        <v>-129.34768</v>
      </c>
      <c r="F67" s="124">
        <f>D67-E67</f>
        <v>-196.12132</v>
      </c>
    </row>
    <row r="68" spans="2:6" ht="15">
      <c r="B68" s="114" t="s">
        <v>39</v>
      </c>
      <c r="C68" s="115"/>
      <c r="D68" s="125">
        <f>SUM(D65:D67)</f>
        <v>9733.917760000006</v>
      </c>
      <c r="E68" s="125">
        <v>4235.16843</v>
      </c>
      <c r="F68" s="125">
        <f>SUM(F65:F67)</f>
        <v>5498.749330000003</v>
      </c>
    </row>
    <row r="69" spans="2:6" ht="15">
      <c r="B69" s="114"/>
      <c r="C69" s="115"/>
      <c r="D69" s="123"/>
      <c r="E69" s="114"/>
      <c r="F69" s="127"/>
    </row>
    <row r="70" spans="2:6" ht="15.75" thickBot="1">
      <c r="B70" s="114" t="s">
        <v>28</v>
      </c>
      <c r="C70" s="115"/>
      <c r="D70" s="123">
        <f>'[6]YTD KFB P&amp;L'!$J$49/1000</f>
        <v>-1428.676</v>
      </c>
      <c r="E70" s="124">
        <f>'[3]Jul-Sep''05 Qtr KFB P&amp;L'!$G$49/1000</f>
        <v>-1125</v>
      </c>
      <c r="F70" s="124">
        <f>D70-E70</f>
        <v>-303.67599999999993</v>
      </c>
    </row>
    <row r="71" spans="2:6" ht="15.75" thickBot="1">
      <c r="B71" s="114" t="s">
        <v>41</v>
      </c>
      <c r="C71" s="115"/>
      <c r="D71" s="131">
        <f>SUM(D68:D70)</f>
        <v>8305.241760000006</v>
      </c>
      <c r="E71" s="131">
        <v>3110.1684299999997</v>
      </c>
      <c r="F71" s="131">
        <f>SUM(F68:F70)</f>
        <v>5195.073330000003</v>
      </c>
    </row>
    <row r="72" spans="2:6" ht="15.75" thickTop="1">
      <c r="B72" s="114"/>
      <c r="C72" s="115"/>
      <c r="D72" s="132"/>
      <c r="E72" s="114"/>
      <c r="F72" s="114"/>
    </row>
    <row r="73" spans="2:6" s="169" customFormat="1" ht="15">
      <c r="B73" s="114" t="s">
        <v>129</v>
      </c>
      <c r="C73" s="168"/>
      <c r="D73" s="167"/>
      <c r="E73" s="167"/>
      <c r="F73" s="167"/>
    </row>
    <row r="74" spans="2:6" s="169" customFormat="1" ht="15">
      <c r="B74" s="114" t="s">
        <v>100</v>
      </c>
      <c r="C74" s="168"/>
      <c r="D74" s="167"/>
      <c r="E74" s="167"/>
      <c r="F74" s="167"/>
    </row>
    <row r="75" spans="2:6" ht="15">
      <c r="B75" s="114"/>
      <c r="C75" s="115"/>
      <c r="D75" s="114"/>
      <c r="E75" s="114"/>
      <c r="F75" s="114"/>
    </row>
    <row r="76" ht="15">
      <c r="B76" s="133" t="s">
        <v>122</v>
      </c>
    </row>
  </sheetData>
  <printOptions/>
  <pageMargins left="0.5905511811023623" right="0" top="0.31496062992125984" bottom="0.11811023622047245" header="0" footer="0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9"/>
  <sheetViews>
    <sheetView workbookViewId="0" topLeftCell="A1">
      <selection activeCell="A10" sqref="A1:IV16384"/>
    </sheetView>
  </sheetViews>
  <sheetFormatPr defaultColWidth="8.88671875" defaultRowHeight="15"/>
  <cols>
    <col min="1" max="1" width="2.77734375" style="0" customWidth="1"/>
    <col min="2" max="2" width="51.5546875" style="0" customWidth="1"/>
    <col min="3" max="4" width="11.5546875" style="0" customWidth="1"/>
    <col min="5" max="5" width="12.6640625" style="0" customWidth="1"/>
    <col min="6" max="6" width="11.21484375" style="0" customWidth="1"/>
    <col min="7" max="7" width="12.77734375" style="0" customWidth="1"/>
  </cols>
  <sheetData>
    <row r="1" spans="2:6" ht="15">
      <c r="B1" s="1"/>
      <c r="C1" s="1"/>
      <c r="D1" s="1"/>
      <c r="E1" s="1"/>
      <c r="F1" s="1"/>
    </row>
    <row r="2" spans="2:6" ht="16.5" thickBot="1">
      <c r="B2" s="10" t="s">
        <v>34</v>
      </c>
      <c r="C2" s="1"/>
      <c r="D2" s="1"/>
      <c r="E2" s="1"/>
      <c r="F2" s="1"/>
    </row>
    <row r="3" spans="2:7" ht="15.75">
      <c r="B3" s="2" t="s">
        <v>33</v>
      </c>
      <c r="C3" s="4"/>
      <c r="D3" s="4"/>
      <c r="E3" s="4"/>
      <c r="F3" s="25"/>
      <c r="G3" s="19"/>
    </row>
    <row r="4" spans="2:7" ht="16.5" thickBot="1">
      <c r="B4" s="6" t="s">
        <v>9</v>
      </c>
      <c r="C4" s="1"/>
      <c r="D4" s="1"/>
      <c r="E4" s="1"/>
      <c r="F4" s="26"/>
      <c r="G4" s="19"/>
    </row>
    <row r="5" spans="2:7" ht="15.75">
      <c r="B5" s="2"/>
      <c r="C5" s="23"/>
      <c r="D5" s="23"/>
      <c r="E5" s="23" t="s">
        <v>66</v>
      </c>
      <c r="F5" s="25"/>
      <c r="G5" s="19"/>
    </row>
    <row r="6" spans="2:7" ht="15.75">
      <c r="B6" s="6" t="s">
        <v>52</v>
      </c>
      <c r="C6" s="13"/>
      <c r="D6" s="13"/>
      <c r="E6" s="13"/>
      <c r="F6" s="27"/>
      <c r="G6" s="19"/>
    </row>
    <row r="7" spans="2:7" ht="15.75">
      <c r="B7" s="6" t="s">
        <v>124</v>
      </c>
      <c r="C7" s="13"/>
      <c r="D7" s="13"/>
      <c r="E7" s="13"/>
      <c r="F7" s="27"/>
      <c r="G7" s="19"/>
    </row>
    <row r="8" spans="2:7" ht="15.75">
      <c r="B8" s="6" t="s">
        <v>110</v>
      </c>
      <c r="C8" s="13"/>
      <c r="D8" s="13"/>
      <c r="E8" s="13"/>
      <c r="F8" s="27"/>
      <c r="G8" s="19"/>
    </row>
    <row r="9" spans="2:7" ht="16.5" thickBot="1">
      <c r="B9" s="6" t="s">
        <v>11</v>
      </c>
      <c r="C9" s="24"/>
      <c r="D9" s="24"/>
      <c r="E9" s="24"/>
      <c r="F9" s="28"/>
      <c r="G9" s="19"/>
    </row>
    <row r="10" spans="2:7" ht="15.75">
      <c r="B10" s="3"/>
      <c r="C10" s="8" t="s">
        <v>13</v>
      </c>
      <c r="D10" s="8" t="s">
        <v>87</v>
      </c>
      <c r="E10" s="8" t="s">
        <v>32</v>
      </c>
      <c r="F10" s="29" t="s">
        <v>31</v>
      </c>
      <c r="G10" s="19"/>
    </row>
    <row r="11" spans="2:7" ht="15.75">
      <c r="B11" s="5"/>
      <c r="C11" s="7" t="s">
        <v>14</v>
      </c>
      <c r="D11" s="7" t="s">
        <v>88</v>
      </c>
      <c r="E11" s="7" t="s">
        <v>72</v>
      </c>
      <c r="F11" s="30"/>
      <c r="G11" s="19"/>
    </row>
    <row r="12" spans="2:7" ht="16.5" thickBot="1">
      <c r="B12" s="5"/>
      <c r="C12" s="7" t="s">
        <v>15</v>
      </c>
      <c r="D12" s="7" t="s">
        <v>15</v>
      </c>
      <c r="E12" s="7" t="s">
        <v>15</v>
      </c>
      <c r="F12" s="30" t="s">
        <v>15</v>
      </c>
      <c r="G12" s="19"/>
    </row>
    <row r="13" spans="2:7" ht="15">
      <c r="B13" s="3"/>
      <c r="C13" s="3"/>
      <c r="D13" s="3"/>
      <c r="E13" s="3"/>
      <c r="F13" s="20"/>
      <c r="G13" s="19"/>
    </row>
    <row r="14" spans="2:7" ht="15">
      <c r="B14" s="5" t="s">
        <v>53</v>
      </c>
      <c r="C14" s="84" t="s">
        <v>43</v>
      </c>
      <c r="D14" s="163">
        <v>0</v>
      </c>
      <c r="E14" s="31">
        <v>-11.64</v>
      </c>
      <c r="F14" s="32">
        <f>SUM(C14:E14)</f>
        <v>-11.64</v>
      </c>
      <c r="G14" s="19"/>
    </row>
    <row r="15" spans="2:7" ht="15">
      <c r="B15" s="5"/>
      <c r="C15" s="31"/>
      <c r="D15" s="31"/>
      <c r="E15" s="31"/>
      <c r="F15" s="32"/>
      <c r="G15" s="19"/>
    </row>
    <row r="16" spans="2:7" ht="15">
      <c r="B16" s="166" t="s">
        <v>94</v>
      </c>
      <c r="C16" s="31">
        <f>'[2]KGPMbs'!$C$46+'[1]KFBbs'!$F$36/1000</f>
        <v>34839.998</v>
      </c>
      <c r="D16" s="31">
        <v>0</v>
      </c>
      <c r="E16" s="31">
        <v>0</v>
      </c>
      <c r="F16" s="32">
        <f>SUM(C16:E16)</f>
        <v>34839.998</v>
      </c>
      <c r="G16" s="19"/>
    </row>
    <row r="17" spans="2:7" ht="15">
      <c r="B17" s="5"/>
      <c r="C17" s="31"/>
      <c r="D17" s="31"/>
      <c r="E17" s="31"/>
      <c r="F17" s="32"/>
      <c r="G17" s="19"/>
    </row>
    <row r="18" spans="2:7" ht="15">
      <c r="B18" s="5" t="s">
        <v>86</v>
      </c>
      <c r="C18" s="31">
        <f>10320000*0.5/1000</f>
        <v>5160</v>
      </c>
      <c r="D18" s="31">
        <f>10320000*0.5/1000</f>
        <v>5160</v>
      </c>
      <c r="E18" s="31">
        <v>0</v>
      </c>
      <c r="F18" s="32">
        <f>SUM(C18:E18)</f>
        <v>10320</v>
      </c>
      <c r="G18" s="19"/>
    </row>
    <row r="19" spans="2:7" ht="15">
      <c r="B19" s="5"/>
      <c r="C19" s="31"/>
      <c r="D19" s="31"/>
      <c r="E19" s="31"/>
      <c r="F19" s="32"/>
      <c r="G19" s="19"/>
    </row>
    <row r="20" spans="2:7" ht="15">
      <c r="B20" s="5" t="s">
        <v>89</v>
      </c>
      <c r="C20" s="31">
        <v>0</v>
      </c>
      <c r="D20" s="31">
        <f>(-1625691)/1000</f>
        <v>-1625.691</v>
      </c>
      <c r="E20" s="31">
        <v>0</v>
      </c>
      <c r="F20" s="32">
        <f>SUM(C20:E20)</f>
        <v>-1625.691</v>
      </c>
      <c r="G20" s="19"/>
    </row>
    <row r="21" spans="2:7" ht="15">
      <c r="B21" s="5"/>
      <c r="C21" s="31"/>
      <c r="D21" s="31"/>
      <c r="E21" s="31"/>
      <c r="F21" s="32"/>
      <c r="G21" s="19"/>
    </row>
    <row r="22" spans="2:7" ht="15">
      <c r="B22" s="5" t="s">
        <v>54</v>
      </c>
      <c r="C22" s="31">
        <v>0</v>
      </c>
      <c r="D22" s="31">
        <v>0</v>
      </c>
      <c r="E22" s="31">
        <f>'Profit &amp; Loss'!E34</f>
        <v>5195.073380000003</v>
      </c>
      <c r="F22" s="32">
        <f>SUM(C22:E22)</f>
        <v>5195.073380000003</v>
      </c>
      <c r="G22" s="19"/>
    </row>
    <row r="23" spans="2:7" ht="15">
      <c r="B23" s="5"/>
      <c r="C23" s="31"/>
      <c r="D23" s="31"/>
      <c r="E23" s="31"/>
      <c r="F23" s="32"/>
      <c r="G23" s="19"/>
    </row>
    <row r="24" spans="2:7" ht="15">
      <c r="B24" s="5" t="s">
        <v>116</v>
      </c>
      <c r="C24" s="31">
        <v>0</v>
      </c>
      <c r="D24" s="31">
        <v>0</v>
      </c>
      <c r="E24" s="31">
        <f>-576000/1000</f>
        <v>-576</v>
      </c>
      <c r="F24" s="32">
        <f>SUM(C24:E24)</f>
        <v>-576</v>
      </c>
      <c r="G24" s="19"/>
    </row>
    <row r="25" spans="2:7" ht="15.75" thickBot="1">
      <c r="B25" s="5"/>
      <c r="C25" s="31"/>
      <c r="D25" s="31"/>
      <c r="E25" s="31"/>
      <c r="F25" s="32"/>
      <c r="G25" s="19"/>
    </row>
    <row r="26" spans="2:8" ht="15.75" thickBot="1">
      <c r="B26" s="5" t="s">
        <v>111</v>
      </c>
      <c r="C26" s="33">
        <f>SUM(C14:C25)</f>
        <v>39999.998</v>
      </c>
      <c r="D26" s="33">
        <f>SUM(D14:D25)</f>
        <v>3534.309</v>
      </c>
      <c r="E26" s="33">
        <f>SUM(E14:E25)</f>
        <v>4607.433380000003</v>
      </c>
      <c r="F26" s="34">
        <f>SUM(F14:F25)-1</f>
        <v>48140.74038</v>
      </c>
      <c r="G26" s="19"/>
      <c r="H26" s="35"/>
    </row>
    <row r="27" spans="2:6" ht="15">
      <c r="B27" s="4"/>
      <c r="C27" s="12"/>
      <c r="D27" s="12"/>
      <c r="E27" s="12"/>
      <c r="F27" s="4"/>
    </row>
    <row r="28" spans="2:6" ht="15">
      <c r="B28" s="1"/>
      <c r="C28" s="1"/>
      <c r="D28" s="1"/>
      <c r="E28" s="1"/>
      <c r="F28" s="1"/>
    </row>
    <row r="29" spans="2:6" ht="15">
      <c r="B29" s="76" t="s">
        <v>98</v>
      </c>
      <c r="C29" s="1"/>
      <c r="D29" s="1"/>
      <c r="E29" s="1"/>
      <c r="F29" s="1"/>
    </row>
    <row r="30" spans="2:6" ht="15">
      <c r="B30" s="76"/>
      <c r="C30" s="1"/>
      <c r="D30" s="1"/>
      <c r="E30" s="1"/>
      <c r="F30" s="1"/>
    </row>
    <row r="31" spans="3:6" ht="15">
      <c r="C31" s="1"/>
      <c r="D31" s="1"/>
      <c r="E31" s="1"/>
      <c r="F31" s="1"/>
    </row>
    <row r="32" spans="2:6" ht="15">
      <c r="B32" s="1"/>
      <c r="C32" s="1"/>
      <c r="D32" s="1"/>
      <c r="E32" s="1"/>
      <c r="F32" s="1"/>
    </row>
    <row r="33" spans="2:6" ht="15">
      <c r="B33" s="1"/>
      <c r="C33" s="1"/>
      <c r="D33" s="1"/>
      <c r="E33" s="1"/>
      <c r="F33" s="1"/>
    </row>
    <row r="34" spans="2:6" ht="15">
      <c r="B34" s="1"/>
      <c r="C34" s="1"/>
      <c r="D34" s="1"/>
      <c r="E34" s="1"/>
      <c r="F34" s="1"/>
    </row>
    <row r="35" spans="2:6" ht="15">
      <c r="B35" s="1"/>
      <c r="C35" s="1"/>
      <c r="D35" s="1"/>
      <c r="E35" s="1"/>
      <c r="F35" s="1"/>
    </row>
    <row r="36" spans="2:6" ht="15">
      <c r="B36" s="1"/>
      <c r="C36" s="1"/>
      <c r="D36" s="1"/>
      <c r="E36" s="1"/>
      <c r="F36" s="1"/>
    </row>
    <row r="37" spans="2:6" ht="15">
      <c r="B37" s="1"/>
      <c r="C37" s="1"/>
      <c r="D37" s="1"/>
      <c r="E37" s="1"/>
      <c r="F37" s="1"/>
    </row>
    <row r="38" spans="2:6" ht="15">
      <c r="B38" s="1"/>
      <c r="C38" s="1"/>
      <c r="D38" s="1"/>
      <c r="E38" s="1"/>
      <c r="F38" s="1"/>
    </row>
    <row r="39" spans="2:6" ht="15">
      <c r="B39" s="1"/>
      <c r="C39" s="1"/>
      <c r="D39" s="1"/>
      <c r="E39" s="1"/>
      <c r="F39" s="1"/>
    </row>
  </sheetData>
  <printOptions/>
  <pageMargins left="0.6692913385826772" right="0.4330708661417323" top="1.3779527559055118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9"/>
  <sheetViews>
    <sheetView workbookViewId="0" topLeftCell="A37">
      <selection activeCell="B59" sqref="B59"/>
    </sheetView>
  </sheetViews>
  <sheetFormatPr defaultColWidth="8.88671875" defaultRowHeight="15"/>
  <cols>
    <col min="1" max="1" width="7.4453125" style="0" customWidth="1"/>
    <col min="2" max="2" width="30.77734375" style="0" customWidth="1"/>
    <col min="3" max="3" width="24.77734375" style="0" customWidth="1"/>
    <col min="4" max="4" width="20.77734375" style="0" customWidth="1"/>
    <col min="5" max="5" width="8.99609375" style="0" customWidth="1"/>
  </cols>
  <sheetData>
    <row r="1" spans="1:5" ht="15">
      <c r="A1" s="1"/>
      <c r="B1" s="1"/>
      <c r="C1" s="1"/>
      <c r="D1" s="1"/>
      <c r="E1" s="1"/>
    </row>
    <row r="2" spans="1:5" ht="15.75">
      <c r="A2" s="1"/>
      <c r="B2" s="10" t="s">
        <v>34</v>
      </c>
      <c r="C2" s="1"/>
      <c r="D2" s="1"/>
      <c r="E2" s="1"/>
    </row>
    <row r="3" spans="1:5" ht="15.75">
      <c r="A3" s="1"/>
      <c r="B3" s="37"/>
      <c r="C3" s="38"/>
      <c r="D3" s="39"/>
      <c r="E3" s="13"/>
    </row>
    <row r="4" spans="1:5" ht="15.75">
      <c r="A4" s="1"/>
      <c r="B4" s="40" t="s">
        <v>33</v>
      </c>
      <c r="C4" s="14"/>
      <c r="D4" s="41"/>
      <c r="E4" s="13"/>
    </row>
    <row r="5" spans="1:5" ht="15.75">
      <c r="A5" s="1"/>
      <c r="B5" s="51" t="s">
        <v>9</v>
      </c>
      <c r="C5" s="49"/>
      <c r="D5" s="52"/>
      <c r="E5" s="13"/>
    </row>
    <row r="6" spans="1:5" ht="15.75">
      <c r="A6" s="1"/>
      <c r="B6" s="37"/>
      <c r="C6" s="38"/>
      <c r="D6" s="39"/>
      <c r="E6" s="13"/>
    </row>
    <row r="7" spans="1:5" ht="15.75">
      <c r="A7" s="1"/>
      <c r="B7" s="40" t="s">
        <v>16</v>
      </c>
      <c r="C7" s="14"/>
      <c r="D7" s="41"/>
      <c r="E7" s="13"/>
    </row>
    <row r="8" spans="1:5" ht="15.75">
      <c r="A8" s="1"/>
      <c r="B8" s="40" t="s">
        <v>81</v>
      </c>
      <c r="C8" s="14"/>
      <c r="D8" s="41"/>
      <c r="E8" s="13"/>
    </row>
    <row r="9" spans="1:5" ht="15.75">
      <c r="A9" s="1"/>
      <c r="B9" s="42" t="s">
        <v>112</v>
      </c>
      <c r="C9" s="14"/>
      <c r="D9" s="41"/>
      <c r="E9" s="13"/>
    </row>
    <row r="10" spans="1:5" ht="15.75">
      <c r="A10" s="1"/>
      <c r="B10" s="51" t="s">
        <v>11</v>
      </c>
      <c r="C10" s="49"/>
      <c r="D10" s="52"/>
      <c r="E10" s="13"/>
    </row>
    <row r="11" spans="1:5" ht="15.75">
      <c r="A11" s="1"/>
      <c r="B11" s="55"/>
      <c r="C11" s="56"/>
      <c r="D11" s="53" t="s">
        <v>92</v>
      </c>
      <c r="E11" s="13"/>
    </row>
    <row r="12" spans="1:5" ht="15.75">
      <c r="A12" s="1"/>
      <c r="B12" s="43"/>
      <c r="C12" s="57"/>
      <c r="D12" s="53" t="s">
        <v>17</v>
      </c>
      <c r="E12" s="13"/>
    </row>
    <row r="13" spans="1:5" ht="15.75">
      <c r="A13" s="1"/>
      <c r="B13" s="43"/>
      <c r="C13" s="57"/>
      <c r="D13" s="54" t="s">
        <v>106</v>
      </c>
      <c r="E13" s="13"/>
    </row>
    <row r="14" spans="1:5" ht="15.75">
      <c r="A14" s="1"/>
      <c r="B14" s="58"/>
      <c r="C14" s="59"/>
      <c r="D14" s="60" t="s">
        <v>15</v>
      </c>
      <c r="E14" s="13"/>
    </row>
    <row r="15" spans="1:5" ht="15">
      <c r="A15" s="1"/>
      <c r="B15" s="43"/>
      <c r="C15" s="57"/>
      <c r="D15" s="57"/>
      <c r="E15" s="13"/>
    </row>
    <row r="16" spans="1:5" ht="15.75">
      <c r="A16" s="1"/>
      <c r="B16" s="40" t="s">
        <v>63</v>
      </c>
      <c r="C16" s="41"/>
      <c r="D16" s="50"/>
      <c r="E16" s="13"/>
    </row>
    <row r="17" spans="1:5" ht="15">
      <c r="A17" s="1"/>
      <c r="B17" s="44"/>
      <c r="C17" s="13"/>
      <c r="D17" s="61"/>
      <c r="E17" s="13"/>
    </row>
    <row r="18" spans="1:5" ht="15">
      <c r="A18" s="1"/>
      <c r="B18" s="43" t="s">
        <v>62</v>
      </c>
      <c r="C18" s="41"/>
      <c r="D18" s="46">
        <f>'[7]Conso Cash Flow June-Dec''05'!$C$9</f>
        <v>5498.707180799995</v>
      </c>
      <c r="E18" s="13"/>
    </row>
    <row r="19" spans="1:5" ht="15.75">
      <c r="A19" s="1"/>
      <c r="B19" s="40"/>
      <c r="C19" s="41"/>
      <c r="D19" s="46"/>
      <c r="E19" s="13"/>
    </row>
    <row r="20" spans="1:5" ht="15.75">
      <c r="A20" s="1"/>
      <c r="B20" s="78" t="s">
        <v>68</v>
      </c>
      <c r="C20" s="41"/>
      <c r="D20" s="46"/>
      <c r="E20" s="13"/>
    </row>
    <row r="21" spans="1:5" ht="15">
      <c r="A21" s="1"/>
      <c r="B21" s="43" t="s">
        <v>80</v>
      </c>
      <c r="C21" s="14"/>
      <c r="D21" s="61">
        <f>'[8]Conso Cash Flow June-Dec''05'!$C$13+'[8]Conso Cash Flow June-Dec''05'!$C$14+'[8]Conso Cash Flow June-Dec''05'!$C$15+'[8]Conso Cash Flow June-Dec''05'!$C$16+'[8]Conso Cash Flow June-Dec''05'!$C$17+'[8]Conso Cash Flow June-Dec''05'!$C$18+'[8]Conso Cash Flow June-Dec''05'!$C$19</f>
        <v>959.4985099999996</v>
      </c>
      <c r="E21" s="13"/>
    </row>
    <row r="22" spans="1:5" ht="15.75">
      <c r="A22" s="1"/>
      <c r="B22" s="45"/>
      <c r="C22" s="15"/>
      <c r="D22" s="80"/>
      <c r="E22" s="13"/>
    </row>
    <row r="23" spans="1:5" ht="15.75">
      <c r="A23" s="1"/>
      <c r="B23" s="78" t="s">
        <v>18</v>
      </c>
      <c r="C23" s="36"/>
      <c r="D23" s="164">
        <f>D18+D21</f>
        <v>6458.205690799994</v>
      </c>
      <c r="E23" s="13"/>
    </row>
    <row r="24" spans="1:5" ht="15.75">
      <c r="A24" s="1"/>
      <c r="B24" s="40"/>
      <c r="C24" s="41"/>
      <c r="D24" s="46"/>
      <c r="E24" s="13"/>
    </row>
    <row r="25" spans="1:5" ht="15.75">
      <c r="A25" s="1"/>
      <c r="B25" s="83" t="s">
        <v>19</v>
      </c>
      <c r="C25" s="41"/>
      <c r="D25" s="46"/>
      <c r="E25" s="13"/>
    </row>
    <row r="26" spans="1:5" ht="15">
      <c r="A26" s="1"/>
      <c r="B26" s="43" t="s">
        <v>1</v>
      </c>
      <c r="C26" s="41"/>
      <c r="D26" s="46">
        <f>'[7]Conso Cash Flow June-Dec''05'!$C$24</f>
        <v>213.0973100000001</v>
      </c>
      <c r="E26" s="13"/>
    </row>
    <row r="27" spans="1:5" ht="15">
      <c r="A27" s="1"/>
      <c r="B27" s="43" t="s">
        <v>37</v>
      </c>
      <c r="C27" s="41"/>
      <c r="D27" s="46">
        <f>'[7]Conso Cash Flow June-Dec''05'!$C$25</f>
        <v>5100.491099999999</v>
      </c>
      <c r="E27" s="13"/>
    </row>
    <row r="28" spans="1:5" ht="15">
      <c r="A28" s="1"/>
      <c r="B28" s="43" t="s">
        <v>58</v>
      </c>
      <c r="C28" s="14"/>
      <c r="D28" s="61">
        <f>'[7]Conso Cash Flow June-Dec''05'!$C$26</f>
        <v>-9375.01335</v>
      </c>
      <c r="E28" s="13"/>
    </row>
    <row r="29" spans="1:5" ht="15">
      <c r="A29" s="1"/>
      <c r="B29" s="43" t="s">
        <v>113</v>
      </c>
      <c r="C29" s="14"/>
      <c r="D29" s="61">
        <f>'[7]Conso Cash Flow June-Dec''05'!$C$27</f>
        <v>125</v>
      </c>
      <c r="E29" s="13"/>
    </row>
    <row r="30" spans="1:5" ht="15">
      <c r="A30" s="1"/>
      <c r="B30" s="43"/>
      <c r="C30" s="50"/>
      <c r="D30" s="62"/>
      <c r="E30" s="13"/>
    </row>
    <row r="31" spans="1:5" ht="15.75">
      <c r="A31" s="1"/>
      <c r="B31" s="40" t="s">
        <v>90</v>
      </c>
      <c r="C31" s="41"/>
      <c r="D31" s="82">
        <f>D23+D26+D27+D28+D29-1</f>
        <v>2520.780750799995</v>
      </c>
      <c r="E31" s="13"/>
    </row>
    <row r="32" spans="1:5" ht="15">
      <c r="A32" s="1"/>
      <c r="B32" s="45"/>
      <c r="C32" s="41"/>
      <c r="D32" s="46"/>
      <c r="E32" s="13"/>
    </row>
    <row r="33" spans="1:5" ht="15">
      <c r="A33" s="1"/>
      <c r="B33" s="43" t="s">
        <v>42</v>
      </c>
      <c r="C33" s="41"/>
      <c r="D33" s="46">
        <f>'[7]Conso Cash Flow June-Dec''05'!$C$32</f>
        <v>-82.38910999999999</v>
      </c>
      <c r="E33" s="13"/>
    </row>
    <row r="34" spans="1:5" ht="15">
      <c r="A34" s="1"/>
      <c r="B34" s="43" t="s">
        <v>20</v>
      </c>
      <c r="C34" s="14"/>
      <c r="D34" s="61">
        <f>'[7]Conso Cash Flow June-Dec''05'!$C$33</f>
        <v>-1957.14</v>
      </c>
      <c r="E34" s="13"/>
    </row>
    <row r="35" spans="1:5" ht="15.75">
      <c r="A35" s="1"/>
      <c r="B35" s="40"/>
      <c r="C35" s="15"/>
      <c r="D35" s="80"/>
      <c r="E35" s="13"/>
    </row>
    <row r="36" spans="1:5" ht="15.75">
      <c r="A36" s="1"/>
      <c r="B36" s="78" t="s">
        <v>91</v>
      </c>
      <c r="C36" s="81"/>
      <c r="D36" s="82">
        <f>D31+D33+D34+1</f>
        <v>482.2516407999949</v>
      </c>
      <c r="E36" s="13"/>
    </row>
    <row r="37" spans="1:5" ht="15.75">
      <c r="A37" s="1"/>
      <c r="B37" s="40"/>
      <c r="C37" s="41"/>
      <c r="D37" s="46"/>
      <c r="E37" s="13"/>
    </row>
    <row r="38" spans="1:5" ht="15.75">
      <c r="A38" s="1"/>
      <c r="B38" s="83" t="s">
        <v>69</v>
      </c>
      <c r="C38" s="41"/>
      <c r="D38" s="46"/>
      <c r="E38" s="13"/>
    </row>
    <row r="39" spans="1:5" ht="15">
      <c r="A39" s="1"/>
      <c r="B39" s="165" t="s">
        <v>70</v>
      </c>
      <c r="C39" s="41"/>
      <c r="D39" s="46">
        <f>'[7]Conso Cash Flow June-Dec''05'!$C$38</f>
        <v>8536.426999999996</v>
      </c>
      <c r="E39" s="13"/>
    </row>
    <row r="40" spans="1:5" ht="15">
      <c r="A40" s="1"/>
      <c r="B40" s="43" t="s">
        <v>21</v>
      </c>
      <c r="C40" s="41"/>
      <c r="D40" s="46">
        <f>'[8]Conso Cash Flow June-Dec''05'!$C$39</f>
        <v>-1800.95075</v>
      </c>
      <c r="E40" s="13"/>
    </row>
    <row r="41" spans="1:5" ht="15">
      <c r="A41" s="1"/>
      <c r="B41" s="43" t="s">
        <v>84</v>
      </c>
      <c r="C41" s="41"/>
      <c r="D41" s="46">
        <f>'[7]Conso Cash Flow June-Dec''05'!$C$40</f>
        <v>36</v>
      </c>
      <c r="E41" s="13"/>
    </row>
    <row r="42" spans="1:5" ht="15">
      <c r="A42" s="1"/>
      <c r="B42" s="43" t="s">
        <v>56</v>
      </c>
      <c r="C42" s="41"/>
      <c r="D42" s="46">
        <f>'[7]Conso Cash Flow June-Dec''05'!$C$41</f>
        <v>152.13586</v>
      </c>
      <c r="E42" s="13"/>
    </row>
    <row r="43" spans="1:5" ht="15.75">
      <c r="A43" s="1"/>
      <c r="B43" s="40"/>
      <c r="C43" s="15"/>
      <c r="D43" s="79"/>
      <c r="E43" s="13"/>
    </row>
    <row r="44" spans="1:5" ht="15.75">
      <c r="A44" s="1"/>
      <c r="B44" s="78" t="s">
        <v>57</v>
      </c>
      <c r="C44" s="81"/>
      <c r="D44" s="82">
        <f>D39+D40+D41+D42-1</f>
        <v>6922.612109999996</v>
      </c>
      <c r="E44" s="13"/>
    </row>
    <row r="45" spans="1:5" ht="15.75">
      <c r="A45" s="1"/>
      <c r="B45" s="40"/>
      <c r="C45" s="41"/>
      <c r="D45" s="46"/>
      <c r="E45" s="13"/>
    </row>
    <row r="46" spans="1:5" ht="15.75">
      <c r="A46" s="1"/>
      <c r="B46" s="83" t="s">
        <v>71</v>
      </c>
      <c r="C46" s="41"/>
      <c r="D46" s="46"/>
      <c r="E46" s="13"/>
    </row>
    <row r="47" spans="1:5" ht="15" hidden="1">
      <c r="A47" s="1"/>
      <c r="B47" s="43" t="s">
        <v>85</v>
      </c>
      <c r="C47" s="41"/>
      <c r="D47" s="46">
        <f>'[4]Conso Cash Flow June-Sep''05'!$C$42</f>
        <v>0</v>
      </c>
      <c r="E47" s="13"/>
    </row>
    <row r="48" spans="1:5" ht="15">
      <c r="A48" s="1"/>
      <c r="B48" s="45" t="s">
        <v>82</v>
      </c>
      <c r="C48" s="41"/>
      <c r="D48" s="46">
        <f>'[7]Conso Cash Flow June-Dec''05'!$C$46</f>
        <v>10320</v>
      </c>
      <c r="E48" s="13"/>
    </row>
    <row r="49" spans="1:5" ht="15">
      <c r="A49" s="1"/>
      <c r="B49" s="45" t="s">
        <v>117</v>
      </c>
      <c r="C49" s="41"/>
      <c r="D49" s="46">
        <f>'[7]Conso Cash Flow June-Dec''05'!$C$47</f>
        <v>-4990</v>
      </c>
      <c r="E49" s="13"/>
    </row>
    <row r="50" spans="1:5" ht="15">
      <c r="A50" s="1"/>
      <c r="B50" s="45" t="s">
        <v>125</v>
      </c>
      <c r="C50" s="41"/>
      <c r="D50" s="46">
        <f>'[8]Conso Cash Flow June-Dec''05'!$C$48</f>
        <v>-576</v>
      </c>
      <c r="E50" s="13"/>
    </row>
    <row r="51" spans="1:5" ht="15">
      <c r="A51" s="1"/>
      <c r="B51" s="43" t="s">
        <v>83</v>
      </c>
      <c r="C51" s="41"/>
      <c r="D51" s="46">
        <f>'[7]Conso Cash Flow June-Dec''05'!$C$49</f>
        <v>-1625.6911600000005</v>
      </c>
      <c r="E51" s="13"/>
    </row>
    <row r="52" spans="1:5" ht="15">
      <c r="A52" s="1"/>
      <c r="B52" s="43"/>
      <c r="C52" s="41"/>
      <c r="D52" s="46"/>
      <c r="E52" s="13"/>
    </row>
    <row r="53" spans="1:5" ht="15.75">
      <c r="A53" s="41"/>
      <c r="B53" s="15" t="s">
        <v>59</v>
      </c>
      <c r="C53" s="41"/>
      <c r="D53" s="82">
        <f>D48+D49+D50+D51</f>
        <v>3128.3088399999997</v>
      </c>
      <c r="E53" s="13"/>
    </row>
    <row r="54" spans="1:5" ht="15">
      <c r="A54" s="1"/>
      <c r="B54" s="43"/>
      <c r="C54" s="41"/>
      <c r="D54" s="46"/>
      <c r="E54" s="13"/>
    </row>
    <row r="55" spans="1:5" ht="15">
      <c r="A55" s="1"/>
      <c r="B55" s="43" t="s">
        <v>22</v>
      </c>
      <c r="C55" s="50"/>
      <c r="D55" s="46">
        <f>D36+D44+D53</f>
        <v>10533.17259079999</v>
      </c>
      <c r="E55" s="13"/>
    </row>
    <row r="56" spans="1:5" ht="15">
      <c r="A56" s="1"/>
      <c r="B56" s="43" t="s">
        <v>99</v>
      </c>
      <c r="C56" s="41"/>
      <c r="D56" s="47" t="s">
        <v>43</v>
      </c>
      <c r="E56" s="13"/>
    </row>
    <row r="57" spans="1:5" ht="15">
      <c r="A57" s="1"/>
      <c r="B57" s="43"/>
      <c r="C57" s="41"/>
      <c r="D57" s="46"/>
      <c r="E57" s="13"/>
    </row>
    <row r="58" spans="1:5" ht="16.5" thickBot="1">
      <c r="A58" s="1"/>
      <c r="B58" s="40" t="s">
        <v>118</v>
      </c>
      <c r="C58" s="15"/>
      <c r="D58" s="64">
        <f>D55</f>
        <v>10533.17259079999</v>
      </c>
      <c r="E58" s="13"/>
    </row>
    <row r="59" spans="1:5" ht="15.75" thickTop="1">
      <c r="A59" s="1"/>
      <c r="B59" s="48"/>
      <c r="C59" s="49"/>
      <c r="D59" s="63"/>
      <c r="E59" s="13"/>
    </row>
    <row r="60" spans="1:5" ht="15">
      <c r="A60" s="1"/>
      <c r="B60" s="13"/>
      <c r="C60" s="13"/>
      <c r="D60" s="13"/>
      <c r="E60" s="1"/>
    </row>
    <row r="61" spans="1:5" ht="15">
      <c r="A61" s="1"/>
      <c r="B61" s="77" t="s">
        <v>93</v>
      </c>
      <c r="C61" s="1"/>
      <c r="D61" s="1"/>
      <c r="E61" s="1"/>
    </row>
    <row r="62" spans="1:5" ht="15">
      <c r="A62" s="1"/>
      <c r="C62" s="1"/>
      <c r="D62" s="1"/>
      <c r="E62" s="1"/>
    </row>
    <row r="63" spans="1:5" ht="15">
      <c r="A63" s="1"/>
      <c r="B63" s="1"/>
      <c r="C63" s="1"/>
      <c r="D63" s="1"/>
      <c r="E63" s="1"/>
    </row>
    <row r="64" spans="1:5" ht="15">
      <c r="A64" s="1"/>
      <c r="B64" s="1"/>
      <c r="C64" s="1"/>
      <c r="D64" s="1"/>
      <c r="E64" s="1"/>
    </row>
    <row r="65" spans="1:5" ht="15">
      <c r="A65" s="1"/>
      <c r="B65" s="1"/>
      <c r="C65" s="1"/>
      <c r="D65" s="1"/>
      <c r="E65" s="1"/>
    </row>
    <row r="66" spans="1:5" ht="15">
      <c r="A66" s="1"/>
      <c r="B66" s="1"/>
      <c r="C66" s="1"/>
      <c r="D66" s="1"/>
      <c r="E66" s="1"/>
    </row>
    <row r="67" spans="1:5" ht="15">
      <c r="A67" s="1"/>
      <c r="B67" s="1"/>
      <c r="C67" s="1"/>
      <c r="D67" s="1"/>
      <c r="E67" s="1"/>
    </row>
    <row r="68" spans="1:5" ht="15">
      <c r="A68" s="1"/>
      <c r="B68" s="1"/>
      <c r="C68" s="1"/>
      <c r="D68" s="1"/>
      <c r="E68" s="1"/>
    </row>
    <row r="69" spans="1:5" ht="15">
      <c r="A69" s="1"/>
      <c r="B69" s="1"/>
      <c r="C69" s="1"/>
      <c r="D69" s="1"/>
      <c r="E69" s="1"/>
    </row>
  </sheetData>
  <printOptions/>
  <pageMargins left="0.7086614173228347" right="0.11811023622047245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